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dawebnet-my.sharepoint.com/personal/tsturges_adacounty_id_gov/Documents/Desktop/"/>
    </mc:Choice>
  </mc:AlternateContent>
  <xr:revisionPtr revIDLastSave="25" documentId="13_ncr:1_{206530A1-50FB-4433-9D4C-98102D97C0DD}" xr6:coauthVersionLast="47" xr6:coauthVersionMax="47" xr10:uidLastSave="{14C16910-9701-429C-B5DE-FDF022C07DA3}"/>
  <bookViews>
    <workbookView xWindow="28680" yWindow="-120" windowWidth="29040" windowHeight="15720" activeTab="3" xr2:uid="{00000000-000D-0000-FFFF-FFFF00000000}"/>
  </bookViews>
  <sheets>
    <sheet name="Revenue BreakOut" sheetId="4" r:id="rId1"/>
    <sheet name="AvailableSurplus" sheetId="1" r:id="rId2"/>
    <sheet name="AvailableSurplus w27th" sheetId="6" r:id="rId3"/>
    <sheet name="Cash Basis Actual " sheetId="5" r:id="rId4"/>
  </sheets>
  <definedNames>
    <definedName name="_xlnm.Print_Area" localSheetId="0">'Revenue BreakOut'!$A$1:$Z$77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6" l="1"/>
  <c r="F66" i="6"/>
  <c r="H66" i="6"/>
  <c r="F19" i="6"/>
  <c r="F26" i="4" l="1"/>
  <c r="F24" i="4"/>
  <c r="U62" i="6"/>
  <c r="U36" i="6" l="1"/>
  <c r="H38" i="6" l="1"/>
  <c r="H30" i="6"/>
  <c r="H54" i="6"/>
  <c r="H34" i="6"/>
  <c r="H26" i="6"/>
  <c r="H60" i="6"/>
  <c r="H56" i="6"/>
  <c r="H52" i="6"/>
  <c r="H44" i="6"/>
  <c r="H42" i="6"/>
  <c r="H36" i="6"/>
  <c r="H28" i="6"/>
  <c r="H22" i="6"/>
  <c r="H5" i="6"/>
  <c r="H19" i="6"/>
  <c r="H17" i="6"/>
  <c r="H15" i="6"/>
  <c r="H13" i="6"/>
  <c r="H11" i="6"/>
  <c r="H9" i="6"/>
  <c r="H7" i="6"/>
  <c r="J5" i="6"/>
  <c r="L62" i="6"/>
  <c r="F60" i="6"/>
  <c r="D60" i="6"/>
  <c r="J60" i="6" s="1"/>
  <c r="O60" i="6" s="1"/>
  <c r="S60" i="6" s="1"/>
  <c r="W60" i="6" s="1"/>
  <c r="F58" i="6"/>
  <c r="D58" i="6"/>
  <c r="J58" i="6" s="1"/>
  <c r="O58" i="6" s="1"/>
  <c r="S58" i="6" s="1"/>
  <c r="W58" i="6" s="1"/>
  <c r="F56" i="6"/>
  <c r="D56" i="6"/>
  <c r="J56" i="6" s="1"/>
  <c r="O56" i="6" s="1"/>
  <c r="S56" i="6" s="1"/>
  <c r="W56" i="6" s="1"/>
  <c r="F54" i="6"/>
  <c r="D54" i="6"/>
  <c r="F52" i="6"/>
  <c r="D52" i="6"/>
  <c r="J52" i="6" s="1"/>
  <c r="O52" i="6" s="1"/>
  <c r="S52" i="6" s="1"/>
  <c r="W52" i="6" s="1"/>
  <c r="F50" i="6"/>
  <c r="D50" i="6"/>
  <c r="F48" i="6"/>
  <c r="D48" i="6"/>
  <c r="J48" i="6" s="1"/>
  <c r="O48" i="6" s="1"/>
  <c r="S48" i="6" s="1"/>
  <c r="W48" i="6" s="1"/>
  <c r="F46" i="6"/>
  <c r="D46" i="6"/>
  <c r="J46" i="6" s="1"/>
  <c r="O46" i="6" s="1"/>
  <c r="S46" i="6" s="1"/>
  <c r="W46" i="6" s="1"/>
  <c r="F44" i="6"/>
  <c r="F42" i="6"/>
  <c r="D42" i="6"/>
  <c r="J42" i="6" s="1"/>
  <c r="O42" i="6" s="1"/>
  <c r="S42" i="6" s="1"/>
  <c r="W42" i="6" s="1"/>
  <c r="F40" i="6"/>
  <c r="D40" i="6"/>
  <c r="J40" i="6" s="1"/>
  <c r="O40" i="6" s="1"/>
  <c r="S40" i="6" s="1"/>
  <c r="W40" i="6" s="1"/>
  <c r="F38" i="6"/>
  <c r="D38" i="6"/>
  <c r="J38" i="6" s="1"/>
  <c r="O38" i="6" s="1"/>
  <c r="S38" i="6" s="1"/>
  <c r="W38" i="6" s="1"/>
  <c r="F36" i="6"/>
  <c r="D36" i="6"/>
  <c r="F34" i="6"/>
  <c r="D34" i="6"/>
  <c r="J34" i="6" s="1"/>
  <c r="O34" i="6" s="1"/>
  <c r="S34" i="6" s="1"/>
  <c r="W34" i="6" s="1"/>
  <c r="F32" i="6"/>
  <c r="D32" i="6"/>
  <c r="J32" i="6" s="1"/>
  <c r="O32" i="6" s="1"/>
  <c r="S32" i="6" s="1"/>
  <c r="W32" i="6" s="1"/>
  <c r="F30" i="6"/>
  <c r="D30" i="6"/>
  <c r="J30" i="6" s="1"/>
  <c r="O30" i="6" s="1"/>
  <c r="S30" i="6" s="1"/>
  <c r="W30" i="6" s="1"/>
  <c r="F28" i="6"/>
  <c r="D28" i="6"/>
  <c r="F26" i="6"/>
  <c r="D26" i="6"/>
  <c r="F24" i="6"/>
  <c r="D24" i="6"/>
  <c r="J24" i="6" s="1"/>
  <c r="F22" i="6"/>
  <c r="D22" i="6"/>
  <c r="F17" i="6"/>
  <c r="D17" i="6"/>
  <c r="F15" i="6"/>
  <c r="D15" i="6"/>
  <c r="F13" i="6"/>
  <c r="D13" i="6"/>
  <c r="F11" i="6"/>
  <c r="D11" i="6"/>
  <c r="F9" i="6"/>
  <c r="D9" i="6"/>
  <c r="J9" i="6" s="1"/>
  <c r="F7" i="6"/>
  <c r="D7" i="6"/>
  <c r="D5" i="6"/>
  <c r="I26" i="4"/>
  <c r="F22" i="4"/>
  <c r="F20" i="4"/>
  <c r="L18" i="4"/>
  <c r="M18" i="4"/>
  <c r="L20" i="4"/>
  <c r="F51" i="4"/>
  <c r="M51" i="4"/>
  <c r="J17" i="6" l="1"/>
  <c r="J15" i="6"/>
  <c r="S15" i="6" s="1"/>
  <c r="W15" i="6" s="1"/>
  <c r="J54" i="6"/>
  <c r="O54" i="6" s="1"/>
  <c r="S54" i="6" s="1"/>
  <c r="W54" i="6" s="1"/>
  <c r="J28" i="6"/>
  <c r="O28" i="6" s="1"/>
  <c r="S28" i="6" s="1"/>
  <c r="W28" i="6" s="1"/>
  <c r="J7" i="6"/>
  <c r="O7" i="6" s="1"/>
  <c r="J22" i="6"/>
  <c r="O22" i="6" s="1"/>
  <c r="S22" i="6" s="1"/>
  <c r="W22" i="6" s="1"/>
  <c r="J36" i="6"/>
  <c r="O36" i="6" s="1"/>
  <c r="S36" i="6" s="1"/>
  <c r="W36" i="6" s="1"/>
  <c r="J50" i="6"/>
  <c r="O50" i="6" s="1"/>
  <c r="S50" i="6" s="1"/>
  <c r="W50" i="6" s="1"/>
  <c r="J11" i="6"/>
  <c r="S11" i="6" s="1"/>
  <c r="W11" i="6" s="1"/>
  <c r="J26" i="6"/>
  <c r="O26" i="6" s="1"/>
  <c r="S26" i="6" s="1"/>
  <c r="W26" i="6" s="1"/>
  <c r="Q63" i="6"/>
  <c r="O15" i="6"/>
  <c r="O17" i="6"/>
  <c r="S17" i="6"/>
  <c r="W17" i="6" s="1"/>
  <c r="S5" i="6"/>
  <c r="W5" i="6" s="1"/>
  <c r="O5" i="6"/>
  <c r="S9" i="6"/>
  <c r="W9" i="6" s="1"/>
  <c r="O9" i="6"/>
  <c r="S7" i="6"/>
  <c r="W7" i="6" s="1"/>
  <c r="J13" i="6"/>
  <c r="F18" i="4"/>
  <c r="M16" i="4"/>
  <c r="L16" i="4"/>
  <c r="O16" i="4"/>
  <c r="F16" i="4"/>
  <c r="F60" i="1"/>
  <c r="F58" i="1"/>
  <c r="F56" i="1"/>
  <c r="F54" i="1"/>
  <c r="F52" i="1"/>
  <c r="F40" i="1"/>
  <c r="F36" i="1"/>
  <c r="F34" i="1"/>
  <c r="F32" i="1"/>
  <c r="F30" i="1"/>
  <c r="F28" i="1"/>
  <c r="F26" i="1"/>
  <c r="F24" i="1"/>
  <c r="O11" i="6" l="1"/>
  <c r="S13" i="6"/>
  <c r="W13" i="6" s="1"/>
  <c r="O13" i="6"/>
  <c r="F44" i="1"/>
  <c r="F46" i="1"/>
  <c r="F48" i="1"/>
  <c r="F50" i="1"/>
  <c r="F42" i="1" l="1"/>
  <c r="F38" i="1"/>
  <c r="F22" i="1"/>
  <c r="X12" i="4" l="1"/>
  <c r="V12" i="4"/>
  <c r="S70" i="4" l="1"/>
  <c r="S67" i="4"/>
  <c r="S65" i="4"/>
  <c r="S63" i="4"/>
  <c r="S59" i="4"/>
  <c r="S51" i="4"/>
  <c r="S49" i="4"/>
  <c r="S47" i="4"/>
  <c r="S45" i="4"/>
  <c r="S43" i="4"/>
  <c r="S41" i="4"/>
  <c r="S39" i="4"/>
  <c r="S37" i="4"/>
  <c r="S35" i="4"/>
  <c r="S33" i="4"/>
  <c r="V39" i="4"/>
  <c r="S29" i="4"/>
  <c r="G31" i="5"/>
  <c r="K31" i="5" s="1"/>
  <c r="S26" i="4"/>
  <c r="S24" i="4"/>
  <c r="S22" i="4"/>
  <c r="S20" i="4"/>
  <c r="S18" i="4"/>
  <c r="S16" i="4"/>
  <c r="S14" i="4"/>
  <c r="S12" i="4"/>
  <c r="F70" i="4"/>
  <c r="F67" i="4"/>
  <c r="F65" i="4"/>
  <c r="F63" i="4"/>
  <c r="F59" i="4"/>
  <c r="F49" i="4"/>
  <c r="F47" i="4"/>
  <c r="F45" i="4"/>
  <c r="F41" i="4"/>
  <c r="F39" i="4"/>
  <c r="F37" i="4"/>
  <c r="F35" i="4"/>
  <c r="F33" i="4"/>
  <c r="H61" i="4"/>
  <c r="J43" i="4"/>
  <c r="F43" i="4" l="1"/>
  <c r="F29" i="4"/>
  <c r="F12" i="4"/>
  <c r="L26" i="4"/>
  <c r="V22" i="4" l="1"/>
  <c r="D14" i="4" l="1"/>
  <c r="F15" i="1" l="1"/>
  <c r="F7" i="1"/>
  <c r="V57" i="4"/>
  <c r="V55" i="4"/>
  <c r="V63" i="4"/>
  <c r="V61" i="4"/>
  <c r="V53" i="4"/>
  <c r="F17" i="1" l="1"/>
  <c r="F11" i="1"/>
  <c r="F9" i="1"/>
  <c r="F13" i="1"/>
  <c r="F19" i="1"/>
  <c r="V51" i="4" l="1"/>
  <c r="X50" i="4"/>
  <c r="L14" i="4" l="1"/>
  <c r="F14" i="4" l="1"/>
  <c r="D71" i="4" l="1"/>
  <c r="F71" i="4"/>
  <c r="L57" i="4"/>
  <c r="I57" i="4"/>
  <c r="M57" i="4" s="1"/>
  <c r="O57" i="4" s="1"/>
  <c r="F57" i="4"/>
  <c r="Q57" i="4" s="1"/>
  <c r="X57" i="4" s="1"/>
  <c r="D50" i="1" s="1"/>
  <c r="H50" i="1" s="1"/>
  <c r="M50" i="1" s="1"/>
  <c r="Q50" i="1" s="1"/>
  <c r="U50" i="1" s="1"/>
  <c r="L55" i="4"/>
  <c r="I55" i="4"/>
  <c r="M55" i="4" s="1"/>
  <c r="O55" i="4" s="1"/>
  <c r="F55" i="4"/>
  <c r="Q55" i="4" s="1"/>
  <c r="X55" i="4" s="1"/>
  <c r="D48" i="1" s="1"/>
  <c r="H48" i="1" s="1"/>
  <c r="M48" i="1" s="1"/>
  <c r="Q48" i="1" s="1"/>
  <c r="U48" i="1" s="1"/>
  <c r="L53" i="4"/>
  <c r="I53" i="4"/>
  <c r="M53" i="4" s="1"/>
  <c r="O53" i="4" s="1"/>
  <c r="F53" i="4"/>
  <c r="Q53" i="4" l="1"/>
  <c r="J71" i="4" l="1"/>
  <c r="H71" i="4"/>
  <c r="G41" i="5" l="1"/>
  <c r="G29" i="5"/>
  <c r="M26" i="4" l="1"/>
  <c r="F61" i="4" l="1"/>
  <c r="I33" i="4"/>
  <c r="I18" i="4" l="1"/>
  <c r="V67" i="4" l="1"/>
  <c r="G7" i="5"/>
  <c r="G11" i="5"/>
  <c r="G13" i="5"/>
  <c r="G15" i="5"/>
  <c r="G19" i="5"/>
  <c r="G21" i="5"/>
  <c r="G23" i="5"/>
  <c r="G27" i="5"/>
  <c r="G33" i="5"/>
  <c r="G37" i="5"/>
  <c r="G43" i="5"/>
  <c r="V65" i="4"/>
  <c r="M61" i="4"/>
  <c r="V20" i="4" l="1"/>
  <c r="I12" i="4"/>
  <c r="L22" i="4" l="1"/>
  <c r="L24" i="4" l="1"/>
  <c r="V49" i="4" l="1"/>
  <c r="T8" i="4" l="1"/>
  <c r="S8" i="4"/>
  <c r="V8" i="4" s="1"/>
  <c r="S62" i="1" l="1"/>
  <c r="L47" i="4" l="1"/>
  <c r="L49" i="4"/>
  <c r="L51" i="4"/>
  <c r="V70" i="4" l="1"/>
  <c r="V59" i="4"/>
  <c r="X53" i="4" s="1"/>
  <c r="D46" i="1" s="1"/>
  <c r="H46" i="1" s="1"/>
  <c r="M46" i="1" s="1"/>
  <c r="Q46" i="1" s="1"/>
  <c r="U46" i="1" s="1"/>
  <c r="V47" i="4"/>
  <c r="V35" i="4"/>
  <c r="L8" i="4" l="1"/>
  <c r="I8" i="4" l="1"/>
  <c r="M8" i="4" s="1"/>
  <c r="O8" i="4" s="1"/>
  <c r="Q8" i="4" s="1"/>
  <c r="X8" i="4" s="1"/>
  <c r="AB8" i="4" s="1"/>
  <c r="J62" i="1" l="1"/>
  <c r="O63" i="1" s="1"/>
  <c r="K29" i="5" l="1"/>
  <c r="V29" i="4" l="1"/>
  <c r="L43" i="4"/>
  <c r="I16" i="4" l="1"/>
  <c r="I20" i="4"/>
  <c r="I22" i="4"/>
  <c r="M22" i="4" s="1"/>
  <c r="I24" i="4"/>
  <c r="M24" i="4" s="1"/>
  <c r="O24" i="4" l="1"/>
  <c r="V16" i="4"/>
  <c r="V45" i="4" l="1"/>
  <c r="V43" i="4"/>
  <c r="V41" i="4"/>
  <c r="V37" i="4"/>
  <c r="V33" i="4"/>
  <c r="V14" i="4" l="1"/>
  <c r="O12" i="4" l="1"/>
  <c r="Q12" i="4" s="1"/>
  <c r="Z70" i="4"/>
  <c r="G5" i="5" l="1"/>
  <c r="I14" i="4" l="1"/>
  <c r="M14" i="4" s="1"/>
  <c r="O14" i="4" l="1"/>
  <c r="Q14" i="4" s="1"/>
  <c r="K39" i="5"/>
  <c r="K25" i="5"/>
  <c r="K9" i="5" l="1"/>
  <c r="K5" i="5"/>
  <c r="M5" i="5" s="1"/>
  <c r="K35" i="5"/>
  <c r="K43" i="5"/>
  <c r="K41" i="5"/>
  <c r="K37" i="5"/>
  <c r="M37" i="5" s="1"/>
  <c r="K33" i="5"/>
  <c r="K27" i="5"/>
  <c r="M27" i="5" s="1"/>
  <c r="K23" i="5"/>
  <c r="M23" i="5" s="1"/>
  <c r="K21" i="5"/>
  <c r="M21" i="5" s="1"/>
  <c r="K19" i="5"/>
  <c r="M19" i="5" s="1"/>
  <c r="K17" i="5"/>
  <c r="K15" i="5"/>
  <c r="M15" i="5" s="1"/>
  <c r="K13" i="5"/>
  <c r="M13" i="5" s="1"/>
  <c r="K11" i="5"/>
  <c r="M11" i="5" s="1"/>
  <c r="K7" i="5"/>
  <c r="M7" i="5" s="1"/>
  <c r="Q16" i="4" l="1"/>
  <c r="X16" i="4" s="1"/>
  <c r="D9" i="1" s="1"/>
  <c r="H9" i="1" s="1"/>
  <c r="M9" i="1" l="1"/>
  <c r="Q9" i="1"/>
  <c r="U9" i="1" s="1"/>
  <c r="O26" i="4"/>
  <c r="Q26" i="4" s="1"/>
  <c r="V26" i="4"/>
  <c r="X26" i="4" l="1"/>
  <c r="D19" i="1" l="1"/>
  <c r="D19" i="6"/>
  <c r="J19" i="6" s="1"/>
  <c r="H19" i="1"/>
  <c r="Q19" i="1" s="1"/>
  <c r="U19" i="1" s="1"/>
  <c r="L45" i="4"/>
  <c r="O19" i="6" l="1"/>
  <c r="S19" i="6"/>
  <c r="W19" i="6" s="1"/>
  <c r="M19" i="1"/>
  <c r="X14" i="4"/>
  <c r="D7" i="1" s="1"/>
  <c r="H7" i="1" s="1"/>
  <c r="L67" i="4"/>
  <c r="L33" i="4"/>
  <c r="L31" i="4"/>
  <c r="M20" i="4"/>
  <c r="O18" i="4"/>
  <c r="Q18" i="4" s="1"/>
  <c r="I70" i="4"/>
  <c r="M70" i="4" s="1"/>
  <c r="I67" i="4"/>
  <c r="M67" i="4" s="1"/>
  <c r="I65" i="4"/>
  <c r="M65" i="4" s="1"/>
  <c r="I59" i="4"/>
  <c r="M59" i="4" s="1"/>
  <c r="I51" i="4"/>
  <c r="I49" i="4"/>
  <c r="M49" i="4" s="1"/>
  <c r="I47" i="4"/>
  <c r="M47" i="4" s="1"/>
  <c r="I39" i="4"/>
  <c r="M39" i="4" s="1"/>
  <c r="M31" i="4"/>
  <c r="I29" i="4"/>
  <c r="I41" i="4"/>
  <c r="M41" i="4" s="1"/>
  <c r="V24" i="4"/>
  <c r="V18" i="4"/>
  <c r="L29" i="4"/>
  <c r="M33" i="4"/>
  <c r="I35" i="4"/>
  <c r="M35" i="4" s="1"/>
  <c r="L35" i="4"/>
  <c r="I37" i="4"/>
  <c r="M37" i="4" s="1"/>
  <c r="L37" i="4"/>
  <c r="L39" i="4"/>
  <c r="L41" i="4"/>
  <c r="I43" i="4"/>
  <c r="I45" i="4"/>
  <c r="M45" i="4" s="1"/>
  <c r="O45" i="4" s="1"/>
  <c r="Q45" i="4" s="1"/>
  <c r="X45" i="4" s="1"/>
  <c r="L59" i="4"/>
  <c r="L61" i="4"/>
  <c r="O61" i="4" s="1"/>
  <c r="I63" i="4"/>
  <c r="M63" i="4" s="1"/>
  <c r="L63" i="4"/>
  <c r="L65" i="4"/>
  <c r="L70" i="4"/>
  <c r="O72" i="4"/>
  <c r="O73" i="4"/>
  <c r="L71" i="4" l="1"/>
  <c r="I71" i="4"/>
  <c r="J75" i="4" s="1"/>
  <c r="M7" i="1"/>
  <c r="Q7" i="1"/>
  <c r="U7" i="1" s="1"/>
  <c r="M29" i="4"/>
  <c r="O29" i="4" s="1"/>
  <c r="Q29" i="4" s="1"/>
  <c r="O31" i="4"/>
  <c r="Q31" i="4" s="1"/>
  <c r="Q24" i="4"/>
  <c r="X24" i="4" s="1"/>
  <c r="D17" i="1" s="1"/>
  <c r="O63" i="4"/>
  <c r="Q63" i="4" s="1"/>
  <c r="O39" i="4"/>
  <c r="Q39" i="4" s="1"/>
  <c r="O67" i="4"/>
  <c r="Q67" i="4" s="1"/>
  <c r="X67" i="4" s="1"/>
  <c r="D58" i="1" s="1"/>
  <c r="H58" i="1" s="1"/>
  <c r="M58" i="1" s="1"/>
  <c r="Q58" i="1" s="1"/>
  <c r="U58" i="1" s="1"/>
  <c r="O59" i="4"/>
  <c r="Q59" i="4" s="1"/>
  <c r="X59" i="4" s="1"/>
  <c r="D52" i="1" s="1"/>
  <c r="H52" i="1" s="1"/>
  <c r="M52" i="1" s="1"/>
  <c r="Q52" i="1" s="1"/>
  <c r="U52" i="1" s="1"/>
  <c r="O70" i="4"/>
  <c r="Q70" i="4" s="1"/>
  <c r="X70" i="4" s="1"/>
  <c r="O47" i="4"/>
  <c r="Q47" i="4" s="1"/>
  <c r="O65" i="4"/>
  <c r="Q65" i="4" s="1"/>
  <c r="D38" i="1"/>
  <c r="H38" i="1" s="1"/>
  <c r="M38" i="1" s="1"/>
  <c r="Q38" i="1" s="1"/>
  <c r="U38" i="1" s="1"/>
  <c r="O41" i="4"/>
  <c r="Q41" i="4" s="1"/>
  <c r="X41" i="4" s="1"/>
  <c r="O49" i="4"/>
  <c r="O37" i="4"/>
  <c r="Q37" i="4" s="1"/>
  <c r="X37" i="4" s="1"/>
  <c r="O51" i="4"/>
  <c r="Q51" i="4" s="1"/>
  <c r="X51" i="4" s="1"/>
  <c r="D44" i="6" s="1"/>
  <c r="O35" i="4"/>
  <c r="Q35" i="4" s="1"/>
  <c r="X35" i="4" s="1"/>
  <c r="M43" i="4"/>
  <c r="O43" i="4" s="1"/>
  <c r="O22" i="4"/>
  <c r="Q22" i="4" s="1"/>
  <c r="X22" i="4" s="1"/>
  <c r="O20" i="4"/>
  <c r="Q61" i="4"/>
  <c r="X61" i="4" s="1"/>
  <c r="O33" i="4"/>
  <c r="Q33" i="4" s="1"/>
  <c r="J44" i="6" l="1"/>
  <c r="D66" i="6"/>
  <c r="X47" i="4"/>
  <c r="D40" i="1" s="1"/>
  <c r="H40" i="1" s="1"/>
  <c r="M40" i="1" s="1"/>
  <c r="Q40" i="1" s="1"/>
  <c r="U40" i="1" s="1"/>
  <c r="X39" i="4"/>
  <c r="D32" i="1" s="1"/>
  <c r="H32" i="1" s="1"/>
  <c r="M32" i="1" s="1"/>
  <c r="Q32" i="1" s="1"/>
  <c r="U32" i="1" s="1"/>
  <c r="Q20" i="4"/>
  <c r="X20" i="4" s="1"/>
  <c r="D13" i="1" s="1"/>
  <c r="H13" i="1" s="1"/>
  <c r="M71" i="4"/>
  <c r="O71" i="4" s="1"/>
  <c r="Q71" i="4" s="1"/>
  <c r="X29" i="4"/>
  <c r="D22" i="1" s="1"/>
  <c r="H22" i="1" s="1"/>
  <c r="Q49" i="4"/>
  <c r="D60" i="1"/>
  <c r="H60" i="1" s="1"/>
  <c r="M60" i="1" s="1"/>
  <c r="Q60" i="1" s="1"/>
  <c r="U60" i="1" s="1"/>
  <c r="D44" i="1"/>
  <c r="H44" i="1" s="1"/>
  <c r="M44" i="1" s="1"/>
  <c r="Q44" i="1" s="1"/>
  <c r="U44" i="1" s="1"/>
  <c r="X65" i="4"/>
  <c r="D56" i="1" s="1"/>
  <c r="H56" i="1" s="1"/>
  <c r="M56" i="1" s="1"/>
  <c r="Q56" i="1" s="1"/>
  <c r="U56" i="1" s="1"/>
  <c r="X31" i="4"/>
  <c r="D24" i="1" s="1"/>
  <c r="H24" i="1" s="1"/>
  <c r="D15" i="1"/>
  <c r="H15" i="1" s="1"/>
  <c r="H17" i="1"/>
  <c r="X18" i="4"/>
  <c r="D11" i="1" s="1"/>
  <c r="H11" i="1" s="1"/>
  <c r="D34" i="1"/>
  <c r="H34" i="1" s="1"/>
  <c r="M34" i="1" s="1"/>
  <c r="Q34" i="1" s="1"/>
  <c r="U34" i="1" s="1"/>
  <c r="X33" i="4"/>
  <c r="D26" i="1" s="1"/>
  <c r="H26" i="1" s="1"/>
  <c r="M26" i="1" s="1"/>
  <c r="Q26" i="1" s="1"/>
  <c r="U26" i="1" s="1"/>
  <c r="X63" i="4"/>
  <c r="D54" i="1" s="1"/>
  <c r="H54" i="1" s="1"/>
  <c r="M54" i="1" s="1"/>
  <c r="Q54" i="1" s="1"/>
  <c r="U54" i="1" s="1"/>
  <c r="D28" i="1"/>
  <c r="H28" i="1" s="1"/>
  <c r="M28" i="1" s="1"/>
  <c r="Q28" i="1" s="1"/>
  <c r="U28" i="1" s="1"/>
  <c r="D30" i="1"/>
  <c r="H30" i="1" s="1"/>
  <c r="M30" i="1" s="1"/>
  <c r="Q30" i="1" s="1"/>
  <c r="U30" i="1" s="1"/>
  <c r="D5" i="1"/>
  <c r="H5" i="1" s="1"/>
  <c r="Q43" i="4"/>
  <c r="O44" i="6" l="1"/>
  <c r="S44" i="6" s="1"/>
  <c r="W44" i="6" s="1"/>
  <c r="J66" i="6"/>
  <c r="X49" i="4"/>
  <c r="D42" i="1" s="1"/>
  <c r="H42" i="1" s="1"/>
  <c r="M42" i="1" s="1"/>
  <c r="Q42" i="1" s="1"/>
  <c r="U42" i="1" s="1"/>
  <c r="X43" i="4"/>
  <c r="D36" i="1" s="1"/>
  <c r="M13" i="1"/>
  <c r="Q13" i="1"/>
  <c r="U13" i="1" s="1"/>
  <c r="Q75" i="4"/>
  <c r="M5" i="1"/>
  <c r="Q5" i="1"/>
  <c r="U5" i="1" s="1"/>
  <c r="M22" i="1"/>
  <c r="Q22" i="1" s="1"/>
  <c r="U22" i="1" s="1"/>
  <c r="M17" i="1"/>
  <c r="Q17" i="1"/>
  <c r="U17" i="1" s="1"/>
  <c r="M15" i="1"/>
  <c r="Q15" i="1"/>
  <c r="U15" i="1" s="1"/>
  <c r="M11" i="1"/>
  <c r="Q11" i="1"/>
  <c r="U11" i="1" s="1"/>
  <c r="H36" i="1" l="1"/>
  <c r="M36" i="1" l="1"/>
  <c r="Q36" i="1" s="1"/>
  <c r="U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Sturges</author>
    <author>tc={CC5E0717-68C3-48CE-95B6-BA1A6738E0FF}</author>
    <author>Kathleen Graves</author>
  </authors>
  <commentList>
    <comment ref="V2" authorId="0" shapeId="0" xr:uid="{00000000-0006-0000-0000-000001000000}">
      <text>
        <r>
          <rPr>
            <b/>
            <sz val="9"/>
            <color indexed="81"/>
            <rFont val="Tahoma"/>
            <family val="2"/>
          </rPr>
          <t>Tim Sturges:</t>
        </r>
        <r>
          <rPr>
            <sz val="9"/>
            <color indexed="81"/>
            <rFont val="Tahoma"/>
            <family val="2"/>
          </rPr>
          <t xml:space="preserve">
Cash basis should be greater than zero so if revenue exceed expense input number to zeor out the negative amount.  For FY20 estimates it only occurred in Waterways, Consolidated and Drug/Mental Health Court.</t>
        </r>
      </text>
    </comment>
    <comment ref="D3" authorId="1" shapeId="0" xr:uid="{CC5E0717-68C3-48CE-95B6-BA1A6738E0FF}">
      <text>
        <t>[Threaded comment]
Your version of Excel allows you to read this threaded comment; however, any edits to it will get removed if the file is opened in a newer version of Excel. Learn more: https://go.microsoft.com/fwlink/?linkid=870924
Comment:
    1/1/25 Report</t>
      </text>
    </comment>
    <comment ref="F6" authorId="2" shapeId="0" xr:uid="{00000000-0006-0000-0000-000002000000}">
      <text>
        <r>
          <rPr>
            <b/>
            <sz val="9"/>
            <color indexed="81"/>
            <rFont val="Tahoma"/>
            <family val="2"/>
          </rPr>
          <t>Kathleen Graves:</t>
        </r>
        <r>
          <rPr>
            <sz val="9"/>
            <color indexed="81"/>
            <rFont val="Tahoma"/>
            <family val="2"/>
          </rPr>
          <t xml:space="preserve">
General Fund at 95% - all others at 90% except where noted at 100%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Lund</author>
  </authors>
  <commentList>
    <comment ref="F22" authorId="0" shapeId="0" xr:uid="{D6C32E03-5433-43FB-AF50-D47F7CB51766}">
      <text>
        <r>
          <rPr>
            <b/>
            <sz val="9"/>
            <color indexed="81"/>
            <rFont val="Tahoma"/>
            <family val="2"/>
          </rPr>
          <t>Sarah Lund:</t>
        </r>
        <r>
          <rPr>
            <sz val="9"/>
            <color indexed="81"/>
            <rFont val="Tahoma"/>
            <family val="2"/>
          </rPr>
          <t xml:space="preserve">
Previous yr actual revenue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Lund</author>
  </authors>
  <commentList>
    <comment ref="F22" authorId="0" shapeId="0" xr:uid="{683EDC15-9EA3-468D-86DA-52759A305158}">
      <text>
        <r>
          <rPr>
            <b/>
            <sz val="9"/>
            <color indexed="81"/>
            <rFont val="Tahoma"/>
            <family val="2"/>
          </rPr>
          <t>Sarah Lund:</t>
        </r>
        <r>
          <rPr>
            <sz val="9"/>
            <color indexed="81"/>
            <rFont val="Tahoma"/>
            <family val="2"/>
          </rPr>
          <t xml:space="preserve">
Previous yr actual revenue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Tim Sturges</author>
    <author>Sarah Lund</author>
  </authors>
  <commentList>
    <comment ref="A1" authorId="0" shapeId="0" xr:uid="{00000000-0006-0000-0200-000001000000}">
      <text>
        <r>
          <rPr>
            <b/>
            <sz val="9"/>
            <color indexed="81"/>
            <rFont val="Tahoma"/>
            <family val="2"/>
          </rPr>
          <t>Tim Sturges:</t>
        </r>
        <r>
          <rPr>
            <sz val="9"/>
            <color indexed="81"/>
            <rFont val="Tahoma"/>
            <family val="2"/>
          </rPr>
          <t xml:space="preserve">
This analysis is run as of the date you ran the previous FY's analysis through.  For example, for FY19 it was ran through Jan. 11th and FY20 it was ran through Jan 18th.
</t>
        </r>
      </text>
    </comment>
    <comment ref="I3" authorId="1" shapeId="0" xr:uid="{CABC7C09-1186-49E6-910E-15DECD5C91AD}">
      <text>
        <r>
          <rPr>
            <b/>
            <sz val="9"/>
            <color indexed="81"/>
            <rFont val="Tahoma"/>
            <family val="2"/>
          </rPr>
          <t>Sarah Lund:</t>
        </r>
        <r>
          <rPr>
            <sz val="9"/>
            <color indexed="81"/>
            <rFont val="Tahoma"/>
            <family val="2"/>
          </rPr>
          <t xml:space="preserve">
Previous year Sub-total amt needed for Cash Basis on Revenue Breakout tab</t>
        </r>
      </text>
    </comment>
  </commentList>
</comments>
</file>

<file path=xl/sharedStrings.xml><?xml version="1.0" encoding="utf-8"?>
<sst xmlns="http://schemas.openxmlformats.org/spreadsheetml/2006/main" count="350" uniqueCount="149">
  <si>
    <t>Incr (Decr)</t>
  </si>
  <si>
    <t xml:space="preserve"> </t>
  </si>
  <si>
    <t>Memo:</t>
  </si>
  <si>
    <t xml:space="preserve">Use of </t>
  </si>
  <si>
    <t>FINAL</t>
  </si>
  <si>
    <t>ADJUSTED</t>
  </si>
  <si>
    <t>FUND</t>
  </si>
  <si>
    <t>Diff</t>
  </si>
  <si>
    <t>FS Accruals</t>
  </si>
  <si>
    <t>GROSS</t>
  </si>
  <si>
    <t>Fund Balance</t>
  </si>
  <si>
    <t>Sub-</t>
  </si>
  <si>
    <t xml:space="preserve">Fund Balance in </t>
  </si>
  <si>
    <t>**1st Qtr</t>
  </si>
  <si>
    <t>FUND BALANCE</t>
  </si>
  <si>
    <t>FINAL FUND BALANCE</t>
  </si>
  <si>
    <t xml:space="preserve">Amt of </t>
  </si>
  <si>
    <t>True "Book</t>
  </si>
  <si>
    <t>Sub</t>
  </si>
  <si>
    <t>Expense</t>
  </si>
  <si>
    <t>REVENUE</t>
  </si>
  <si>
    <t>SURPLUS</t>
  </si>
  <si>
    <t>Resolution</t>
  </si>
  <si>
    <t>Total</t>
  </si>
  <si>
    <t>Place of Taxes</t>
  </si>
  <si>
    <t>Exp Incr</t>
  </si>
  <si>
    <t>"AVAILABLE"</t>
  </si>
  <si>
    <t>Miscellaneous</t>
  </si>
  <si>
    <t>Cash" Bal.</t>
  </si>
  <si>
    <t>(Plus xx%)**</t>
  </si>
  <si>
    <t>Factor</t>
  </si>
  <si>
    <t>Remaining</t>
  </si>
  <si>
    <t>FAIR</t>
  </si>
  <si>
    <t>WEED</t>
  </si>
  <si>
    <t>PARKS &amp; REC</t>
  </si>
  <si>
    <t>AD VALOREM</t>
  </si>
  <si>
    <t>COURT MONITORING</t>
  </si>
  <si>
    <t>PEST</t>
  </si>
  <si>
    <t>EMS</t>
  </si>
  <si>
    <t>WATERWAYS</t>
  </si>
  <si>
    <t>BILLING SERVICES</t>
  </si>
  <si>
    <t>EMERGENCY MGMT</t>
  </si>
  <si>
    <t>MOSQUITO</t>
  </si>
  <si>
    <t>EMERGENCY COMM</t>
  </si>
  <si>
    <t>Sub-Total</t>
  </si>
  <si>
    <t>budget less actuals</t>
  </si>
  <si>
    <t xml:space="preserve">Amt Needed </t>
  </si>
  <si>
    <t>Misc Adjs</t>
  </si>
  <si>
    <t>for Cash Basis</t>
  </si>
  <si>
    <t>(A)</t>
  </si>
  <si>
    <t>Property Tax</t>
  </si>
  <si>
    <t>Residual Rev</t>
  </si>
  <si>
    <t>of unrealized</t>
  </si>
  <si>
    <t>Unrealized Property Tax</t>
  </si>
  <si>
    <t>Unrealized Residual Revenue</t>
  </si>
  <si>
    <t>Unrealized Total Revenue</t>
  </si>
  <si>
    <t xml:space="preserve"> Total Revenue</t>
  </si>
  <si>
    <t>PUBLIC HEALTH</t>
  </si>
  <si>
    <t>NO</t>
  </si>
  <si>
    <t>DISTRICT COURT</t>
  </si>
  <si>
    <t>DRUG/MNT HLTH (TCA)</t>
  </si>
  <si>
    <t>DRG/MNT HEALTH (TCA)</t>
  </si>
  <si>
    <t>CE (100%) 12/31</t>
  </si>
  <si>
    <t>n/a</t>
  </si>
  <si>
    <t>Current Exp All @ 12/31</t>
  </si>
  <si>
    <t>Current Exp (100%) 12/31</t>
  </si>
  <si>
    <t>CONSOLIDATED ELECTNS (100% rec'd)</t>
  </si>
  <si>
    <t>Use of</t>
  </si>
  <si>
    <t>Fund</t>
  </si>
  <si>
    <t xml:space="preserve">Revenue </t>
  </si>
  <si>
    <t>Use of Cash</t>
  </si>
  <si>
    <t>General</t>
  </si>
  <si>
    <t>WIF</t>
  </si>
  <si>
    <t>Weed</t>
  </si>
  <si>
    <t>Parks</t>
  </si>
  <si>
    <t>Ad Valorem</t>
  </si>
  <si>
    <t>Court Monitoring</t>
  </si>
  <si>
    <t>Pest</t>
  </si>
  <si>
    <t>District Court</t>
  </si>
  <si>
    <t>Waterways</t>
  </si>
  <si>
    <t>Billing Services</t>
  </si>
  <si>
    <t>Emergency Mgmt</t>
  </si>
  <si>
    <t>Veterans</t>
  </si>
  <si>
    <t>Public Health</t>
  </si>
  <si>
    <t>Mosquito</t>
  </si>
  <si>
    <t>Drug Court</t>
  </si>
  <si>
    <t>Consolidated Elections</t>
  </si>
  <si>
    <t>Emergency Comm</t>
  </si>
  <si>
    <t>Cash Basis Estimate</t>
  </si>
  <si>
    <t>Notes</t>
  </si>
  <si>
    <t>1st 3.5 Mos.</t>
  </si>
  <si>
    <t>1ST 3.5 Mos.</t>
  </si>
  <si>
    <t>CONSOLIDATED ELECTIONS</t>
  </si>
  <si>
    <t xml:space="preserve">     </t>
  </si>
  <si>
    <t>long/(short)</t>
  </si>
  <si>
    <r>
      <t>PUBLIC HEALTH (</t>
    </r>
    <r>
      <rPr>
        <sz val="7"/>
        <rFont val="Arial"/>
        <family val="2"/>
      </rPr>
      <t>100% Expended</t>
    </r>
    <r>
      <rPr>
        <sz val="8"/>
        <rFont val="Arial"/>
        <family val="2"/>
      </rPr>
      <t>)</t>
    </r>
  </si>
  <si>
    <r>
      <t>CRT MONITORING (</t>
    </r>
    <r>
      <rPr>
        <sz val="7"/>
        <rFont val="Arial"/>
        <family val="2"/>
      </rPr>
      <t>100% Expended</t>
    </r>
    <r>
      <rPr>
        <sz val="8"/>
        <rFont val="Arial"/>
        <family val="2"/>
      </rPr>
      <t>)</t>
    </r>
  </si>
  <si>
    <r>
      <t>VETERANS (</t>
    </r>
    <r>
      <rPr>
        <sz val="7"/>
        <rFont val="Arial"/>
        <family val="2"/>
      </rPr>
      <t>100% Expended</t>
    </r>
    <r>
      <rPr>
        <sz val="8"/>
        <rFont val="Arial"/>
        <family val="2"/>
      </rPr>
      <t>)</t>
    </r>
  </si>
  <si>
    <t xml:space="preserve">                                                                                                                          </t>
  </si>
  <si>
    <t>Current Expense 12/31/2021</t>
  </si>
  <si>
    <t>zero</t>
  </si>
  <si>
    <t xml:space="preserve">formula to equal </t>
  </si>
  <si>
    <t xml:space="preserve"> if unrealized is </t>
  </si>
  <si>
    <t>negative, change</t>
  </si>
  <si>
    <t xml:space="preserve">use tax revenue </t>
  </si>
  <si>
    <t>only in this column</t>
  </si>
  <si>
    <t>for Public Health</t>
  </si>
  <si>
    <t>&amp; Veterans</t>
  </si>
  <si>
    <t>**1st Qtr Exp</t>
  </si>
  <si>
    <t>Incr Factor</t>
  </si>
  <si>
    <t>used for estimating %</t>
  </si>
  <si>
    <t>Dec-Exp Spreadsheet</t>
  </si>
  <si>
    <t>Current Exp (95%) @ 12/31</t>
  </si>
  <si>
    <t>EMS ^</t>
  </si>
  <si>
    <r>
      <t xml:space="preserve">BILLING SVCS </t>
    </r>
    <r>
      <rPr>
        <sz val="7"/>
        <rFont val="Arial"/>
        <family val="2"/>
      </rPr>
      <t>(100% Expended)</t>
    </r>
    <r>
      <rPr>
        <sz val="8"/>
        <rFont val="Arial"/>
        <family val="2"/>
      </rPr>
      <t xml:space="preserve"> ^</t>
    </r>
  </si>
  <si>
    <t xml:space="preserve">         FY25 Est</t>
  </si>
  <si>
    <r>
      <rPr>
        <sz val="8"/>
        <rFont val="Arial"/>
        <family val="2"/>
      </rPr>
      <t xml:space="preserve"> </t>
    </r>
    <r>
      <rPr>
        <sz val="10"/>
        <rFont val="Arial"/>
        <family val="2"/>
      </rPr>
      <t xml:space="preserve"> FY25 Est</t>
    </r>
  </si>
  <si>
    <t>FY25 Est</t>
  </si>
  <si>
    <t xml:space="preserve">FAIR^ </t>
  </si>
  <si>
    <t>.</t>
  </si>
  <si>
    <t>SOLID WASTE (116)</t>
  </si>
  <si>
    <t>SOLID WASTE (117)</t>
  </si>
  <si>
    <t>SOLID WASTE (126)</t>
  </si>
  <si>
    <t>SOLID WASTE (127)</t>
  </si>
  <si>
    <t>Statement of Exp</t>
  </si>
  <si>
    <t xml:space="preserve">SOLID WASTE (116) </t>
  </si>
  <si>
    <t xml:space="preserve">SOLID WASTE (117) </t>
  </si>
  <si>
    <t xml:space="preserve">SOLID WASTE (126) </t>
  </si>
  <si>
    <t xml:space="preserve">SOLID WASTE (127) </t>
  </si>
  <si>
    <t>Current Exp (95%) @ 1/31/25</t>
  </si>
  <si>
    <t>Current Exp (95%) @ 2/28/25</t>
  </si>
  <si>
    <t>Current Exp (95%) @ 3/31/25</t>
  </si>
  <si>
    <t>Current Exp (95%) @ 5/31/25</t>
  </si>
  <si>
    <t>Current Exp (95%)@ 6/30/25</t>
  </si>
  <si>
    <t>Bal 12/31/25</t>
  </si>
  <si>
    <t>Current Exp @ 1/31/26</t>
  </si>
  <si>
    <t>Current Exp @ 2/28/26</t>
  </si>
  <si>
    <t>Current Exp @ 3/31/26</t>
  </si>
  <si>
    <t>Current Exp @ 4/30/26</t>
  </si>
  <si>
    <t>Current Exp @ 5/31/26</t>
  </si>
  <si>
    <t>Current Exp @ 6/30/26</t>
  </si>
  <si>
    <t>Cash Basis Actual - October 1, 2025 thru January 9, 2026</t>
  </si>
  <si>
    <t>Solid Waste (116)</t>
  </si>
  <si>
    <t>Solid Waste (117)</t>
  </si>
  <si>
    <t>FY26 Budget Analysis</t>
  </si>
  <si>
    <t>in FY27 Budget</t>
  </si>
  <si>
    <t xml:space="preserve">Current Exp (95%) @ 4/30/25 </t>
  </si>
  <si>
    <t>27th Pay Period</t>
  </si>
  <si>
    <t>Reservation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</si>
</sst>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0" x14ac:knownFonts="1">
    <font>
      <sz val="10"/>
      <name val="Arial"/>
    </font>
    <font>
      <sz val="8"/>
      <name val="Arial"/>
      <family val="2"/>
    </font>
    <font>
      <sz val="10"/>
      <name val="Arial"/>
      <family val="2"/>
    </font>
    <font>
      <sz val="9"/>
      <color indexed="81"/>
      <name val="Tahoma"/>
      <family val="2"/>
    </font>
    <font>
      <b/>
      <sz val="9"/>
      <color indexed="81"/>
      <name val="Tahoma"/>
      <family val="2"/>
    </font>
    <font>
      <b/>
      <sz val="10"/>
      <name val="Helv"/>
    </font>
    <font>
      <b/>
      <sz val="8"/>
      <name val="Helv"/>
    </font>
    <font>
      <sz val="10"/>
      <color rgb="FFFF0000"/>
      <name val="Arial"/>
      <family val="2"/>
    </font>
    <font>
      <sz val="8"/>
      <color rgb="FFFF0000"/>
      <name val="Arial"/>
      <family val="2"/>
    </font>
    <font>
      <b/>
      <i/>
      <sz val="10"/>
      <color rgb="FFFF0000"/>
      <name val="Arial"/>
      <family val="2"/>
    </font>
    <font>
      <b/>
      <sz val="10"/>
      <color rgb="FFFF0000"/>
      <name val="Arial"/>
      <family val="2"/>
    </font>
    <font>
      <b/>
      <i/>
      <sz val="8"/>
      <color rgb="FFFF0000"/>
      <name val="Arial"/>
      <family val="2"/>
    </font>
    <font>
      <sz val="10"/>
      <color rgb="FFFF0000"/>
      <name val="Helv"/>
    </font>
    <font>
      <b/>
      <sz val="10"/>
      <color rgb="FFFF0000"/>
      <name val="Helv"/>
    </font>
    <font>
      <b/>
      <sz val="8"/>
      <color rgb="FFFF0000"/>
      <name val="Arial"/>
      <family val="2"/>
    </font>
    <font>
      <b/>
      <sz val="8"/>
      <color rgb="FFFF0000"/>
      <name val="Helv"/>
    </font>
    <font>
      <sz val="8"/>
      <color rgb="FFFF0000"/>
      <name val="Helv"/>
    </font>
    <font>
      <b/>
      <sz val="6"/>
      <color rgb="FFFF0000"/>
      <name val="Helv"/>
    </font>
    <font>
      <sz val="6"/>
      <color rgb="FFFF0000"/>
      <name val="Helv"/>
    </font>
    <font>
      <sz val="9"/>
      <color rgb="FFFF0000"/>
      <name val="Arial"/>
      <family val="2"/>
    </font>
    <font>
      <sz val="10"/>
      <name val="Helv"/>
    </font>
    <font>
      <sz val="8"/>
      <name val="Helv"/>
    </font>
    <font>
      <b/>
      <i/>
      <sz val="10"/>
      <name val="Arial"/>
      <family val="2"/>
    </font>
    <font>
      <b/>
      <i/>
      <sz val="8"/>
      <name val="Arial"/>
      <family val="2"/>
    </font>
    <font>
      <b/>
      <sz val="10"/>
      <name val="Arial"/>
      <family val="2"/>
    </font>
    <font>
      <sz val="7"/>
      <name val="Arial"/>
      <family val="2"/>
    </font>
    <font>
      <b/>
      <i/>
      <sz val="9"/>
      <name val="Arial"/>
      <family val="2"/>
    </font>
    <font>
      <b/>
      <sz val="8"/>
      <name val="Arial"/>
      <family val="2"/>
    </font>
    <font>
      <i/>
      <sz val="10"/>
      <name val="Arial"/>
      <family val="2"/>
    </font>
    <font>
      <b/>
      <sz val="6"/>
      <name val="Helv"/>
    </font>
    <font>
      <sz val="6"/>
      <name val="Helv"/>
    </font>
    <font>
      <sz val="9"/>
      <name val="Helv"/>
    </font>
    <font>
      <sz val="9"/>
      <name val="Arial"/>
      <family val="2"/>
    </font>
    <font>
      <b/>
      <sz val="9"/>
      <name val="Arial"/>
      <family val="2"/>
    </font>
    <font>
      <b/>
      <sz val="9"/>
      <name val="Helv"/>
    </font>
    <font>
      <b/>
      <sz val="10"/>
      <color rgb="FF7030A0"/>
      <name val="Arial"/>
      <family val="2"/>
    </font>
    <font>
      <b/>
      <i/>
      <sz val="10"/>
      <color rgb="FF7030A0"/>
      <name val="Arial"/>
      <family val="2"/>
    </font>
    <font>
      <b/>
      <i/>
      <sz val="8"/>
      <color rgb="FF7030A0"/>
      <name val="Arial"/>
      <family val="2"/>
    </font>
    <font>
      <b/>
      <i/>
      <sz val="7"/>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20">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dotted">
        <color auto="1"/>
      </bottom>
      <diagonal/>
    </border>
    <border>
      <left style="medium">
        <color indexed="64"/>
      </left>
      <right/>
      <top/>
      <bottom/>
      <diagonal/>
    </border>
    <border>
      <left/>
      <right style="medium">
        <color indexed="64"/>
      </right>
      <top/>
      <bottom/>
      <diagonal/>
    </border>
  </borders>
  <cellStyleXfs count="2">
    <xf numFmtId="0" fontId="0" fillId="0" borderId="0"/>
    <xf numFmtId="43" fontId="39" fillId="0" borderId="0" applyFont="0" applyFill="0" applyBorder="0" applyAlignment="0" applyProtection="0"/>
  </cellStyleXfs>
  <cellXfs count="257">
    <xf numFmtId="0" fontId="0" fillId="0" borderId="0" xfId="0"/>
    <xf numFmtId="38" fontId="2" fillId="0" borderId="0" xfId="0" applyNumberFormat="1" applyFont="1"/>
    <xf numFmtId="0" fontId="2" fillId="0" borderId="0" xfId="0" applyFont="1"/>
    <xf numFmtId="3" fontId="2" fillId="0" borderId="0" xfId="0" applyNumberFormat="1" applyFont="1"/>
    <xf numFmtId="3" fontId="1" fillId="0" borderId="0" xfId="0" applyNumberFormat="1" applyFont="1" applyAlignment="1">
      <alignment horizontal="center"/>
    </xf>
    <xf numFmtId="3" fontId="5" fillId="0" borderId="0" xfId="0" applyNumberFormat="1" applyFont="1" applyAlignment="1">
      <alignment horizontal="center"/>
    </xf>
    <xf numFmtId="0" fontId="1" fillId="0" borderId="0" xfId="0" applyFont="1"/>
    <xf numFmtId="3" fontId="5" fillId="0" borderId="0" xfId="0" applyNumberFormat="1" applyFont="1"/>
    <xf numFmtId="3" fontId="5" fillId="0" borderId="1" xfId="0" applyNumberFormat="1" applyFont="1" applyBorder="1"/>
    <xf numFmtId="37" fontId="2" fillId="0" borderId="0" xfId="0" applyNumberFormat="1" applyFont="1"/>
    <xf numFmtId="9" fontId="2" fillId="0" borderId="0" xfId="0" applyNumberFormat="1" applyFont="1"/>
    <xf numFmtId="0" fontId="5" fillId="0" borderId="0" xfId="0" applyFont="1"/>
    <xf numFmtId="0" fontId="5" fillId="0" borderId="0" xfId="0" applyFont="1" applyAlignment="1">
      <alignment horizontal="center" wrapText="1"/>
    </xf>
    <xf numFmtId="3" fontId="2" fillId="0" borderId="0" xfId="0" applyNumberFormat="1" applyFont="1" applyAlignment="1">
      <alignment horizontal="center"/>
    </xf>
    <xf numFmtId="38" fontId="2" fillId="0" borderId="0" xfId="0" applyNumberFormat="1" applyFont="1" applyAlignment="1">
      <alignment horizontal="center"/>
    </xf>
    <xf numFmtId="9" fontId="1" fillId="0" borderId="0" xfId="0" applyNumberFormat="1" applyFont="1" applyAlignment="1">
      <alignment horizontal="center" wrapText="1"/>
    </xf>
    <xf numFmtId="38" fontId="5" fillId="0" borderId="0" xfId="0" applyNumberFormat="1" applyFont="1" applyAlignment="1">
      <alignment horizontal="center"/>
    </xf>
    <xf numFmtId="37" fontId="5" fillId="0" borderId="0" xfId="0" applyNumberFormat="1" applyFont="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9" fontId="5" fillId="0" borderId="2" xfId="0" applyNumberFormat="1" applyFont="1" applyBorder="1" applyAlignment="1">
      <alignment horizontal="center"/>
    </xf>
    <xf numFmtId="14" fontId="5" fillId="0" borderId="0" xfId="0" applyNumberFormat="1" applyFont="1" applyAlignment="1">
      <alignment horizontal="center"/>
    </xf>
    <xf numFmtId="0" fontId="6" fillId="0" borderId="0" xfId="0" applyFont="1"/>
    <xf numFmtId="0" fontId="6" fillId="0" borderId="1" xfId="0" applyFont="1" applyBorder="1"/>
    <xf numFmtId="0" fontId="5" fillId="0" borderId="1" xfId="0" applyFont="1" applyBorder="1"/>
    <xf numFmtId="3" fontId="5" fillId="0" borderId="1" xfId="0" applyNumberFormat="1" applyFont="1" applyBorder="1" applyAlignment="1">
      <alignment horizontal="center"/>
    </xf>
    <xf numFmtId="9" fontId="5" fillId="0" borderId="1" xfId="0" applyNumberFormat="1" applyFont="1" applyBorder="1" applyAlignment="1">
      <alignment horizontal="center"/>
    </xf>
    <xf numFmtId="0" fontId="2" fillId="0" borderId="1" xfId="0" applyFont="1" applyBorder="1"/>
    <xf numFmtId="0" fontId="7" fillId="0" borderId="0" xfId="0" applyFont="1"/>
    <xf numFmtId="0" fontId="8" fillId="0" borderId="0" xfId="0" applyFont="1"/>
    <xf numFmtId="3" fontId="7" fillId="0" borderId="0" xfId="0" applyNumberFormat="1" applyFont="1"/>
    <xf numFmtId="38" fontId="7" fillId="0" borderId="0" xfId="0" applyNumberFormat="1" applyFont="1"/>
    <xf numFmtId="0" fontId="11" fillId="0" borderId="0" xfId="0" applyFont="1"/>
    <xf numFmtId="0" fontId="12" fillId="0" borderId="3" xfId="0" applyFont="1" applyBorder="1"/>
    <xf numFmtId="3" fontId="12" fillId="0" borderId="3" xfId="0" applyNumberFormat="1" applyFont="1" applyBorder="1"/>
    <xf numFmtId="0" fontId="12" fillId="0" borderId="0" xfId="0" applyFont="1"/>
    <xf numFmtId="14" fontId="11" fillId="0" borderId="0" xfId="0" applyNumberFormat="1" applyFont="1"/>
    <xf numFmtId="0" fontId="9" fillId="0" borderId="0" xfId="0" applyFont="1"/>
    <xf numFmtId="3" fontId="9" fillId="0" borderId="0" xfId="0" applyNumberFormat="1" applyFont="1"/>
    <xf numFmtId="3" fontId="11" fillId="0" borderId="0" xfId="0" applyNumberFormat="1" applyFont="1"/>
    <xf numFmtId="0" fontId="11" fillId="0" borderId="0" xfId="0" applyFont="1" applyAlignment="1">
      <alignment horizontal="right"/>
    </xf>
    <xf numFmtId="38" fontId="10" fillId="0" borderId="0" xfId="0" applyNumberFormat="1" applyFont="1"/>
    <xf numFmtId="38" fontId="5" fillId="0" borderId="0" xfId="0" applyNumberFormat="1" applyFont="1"/>
    <xf numFmtId="0" fontId="14" fillId="0" borderId="0" xfId="0" applyFont="1"/>
    <xf numFmtId="0" fontId="13" fillId="0" borderId="0" xfId="0" applyFont="1"/>
    <xf numFmtId="0" fontId="15" fillId="0" borderId="0" xfId="0" applyFont="1"/>
    <xf numFmtId="3" fontId="13" fillId="0" borderId="0" xfId="0" applyNumberFormat="1" applyFont="1" applyAlignment="1">
      <alignment horizontal="center"/>
    </xf>
    <xf numFmtId="3" fontId="13" fillId="0" borderId="0" xfId="0" quotePrefix="1" applyNumberFormat="1" applyFont="1" applyAlignment="1">
      <alignment horizontal="center"/>
    </xf>
    <xf numFmtId="0" fontId="15" fillId="0" borderId="1" xfId="0" applyFont="1" applyBorder="1"/>
    <xf numFmtId="0" fontId="7" fillId="0" borderId="1" xfId="0" applyFont="1" applyBorder="1"/>
    <xf numFmtId="0" fontId="16" fillId="0" borderId="0" xfId="0" applyFont="1"/>
    <xf numFmtId="0" fontId="10" fillId="0" borderId="0" xfId="0" applyFont="1"/>
    <xf numFmtId="3" fontId="10" fillId="0" borderId="0" xfId="0" applyNumberFormat="1" applyFont="1"/>
    <xf numFmtId="0" fontId="16" fillId="0" borderId="3" xfId="0" applyFont="1" applyBorder="1"/>
    <xf numFmtId="0" fontId="8" fillId="0" borderId="0" xfId="0" applyFont="1" applyAlignment="1">
      <alignment horizontal="right"/>
    </xf>
    <xf numFmtId="37" fontId="19" fillId="0" borderId="0" xfId="0" applyNumberFormat="1" applyFont="1" applyAlignment="1">
      <alignment horizontal="center"/>
    </xf>
    <xf numFmtId="40" fontId="7" fillId="0" borderId="0" xfId="0" applyNumberFormat="1" applyFont="1"/>
    <xf numFmtId="3" fontId="1" fillId="0" borderId="0" xfId="0" applyNumberFormat="1" applyFont="1" applyAlignment="1">
      <alignment horizontal="center" wrapText="1"/>
    </xf>
    <xf numFmtId="3" fontId="5" fillId="0" borderId="0" xfId="0" applyNumberFormat="1" applyFont="1" applyAlignment="1">
      <alignment horizontal="center" wrapText="1"/>
    </xf>
    <xf numFmtId="14" fontId="20" fillId="0" borderId="0" xfId="0" applyNumberFormat="1" applyFont="1" applyAlignment="1">
      <alignment horizontal="center"/>
    </xf>
    <xf numFmtId="0" fontId="21" fillId="0" borderId="0" xfId="0" applyFont="1"/>
    <xf numFmtId="37" fontId="22" fillId="0" borderId="0" xfId="0" applyNumberFormat="1" applyFont="1"/>
    <xf numFmtId="0" fontId="22" fillId="0" borderId="0" xfId="0" applyFont="1"/>
    <xf numFmtId="3" fontId="22" fillId="0" borderId="0" xfId="0" applyNumberFormat="1" applyFont="1"/>
    <xf numFmtId="3" fontId="23" fillId="0" borderId="0" xfId="0" applyNumberFormat="1" applyFont="1"/>
    <xf numFmtId="0" fontId="23" fillId="0" borderId="0" xfId="0" applyFont="1"/>
    <xf numFmtId="3" fontId="1" fillId="0" borderId="0" xfId="0" applyNumberFormat="1" applyFont="1"/>
    <xf numFmtId="0" fontId="24" fillId="0" borderId="0" xfId="0" applyFont="1"/>
    <xf numFmtId="3" fontId="21" fillId="0" borderId="0" xfId="0" applyNumberFormat="1" applyFont="1"/>
    <xf numFmtId="3" fontId="5" fillId="0" borderId="0" xfId="0" quotePrefix="1" applyNumberFormat="1" applyFont="1" applyAlignment="1">
      <alignment horizontal="center"/>
    </xf>
    <xf numFmtId="14" fontId="23" fillId="0" borderId="0" xfId="0" applyNumberFormat="1" applyFont="1"/>
    <xf numFmtId="0" fontId="26" fillId="0" borderId="0" xfId="0" applyFont="1" applyAlignment="1">
      <alignment horizontal="right"/>
    </xf>
    <xf numFmtId="16" fontId="1" fillId="0" borderId="0" xfId="0" applyNumberFormat="1" applyFont="1" applyAlignment="1">
      <alignment horizontal="right"/>
    </xf>
    <xf numFmtId="0" fontId="27" fillId="0" borderId="0" xfId="0" applyFont="1" applyAlignment="1">
      <alignment horizontal="right"/>
    </xf>
    <xf numFmtId="38" fontId="22" fillId="0" borderId="0" xfId="0" applyNumberFormat="1" applyFont="1"/>
    <xf numFmtId="38" fontId="23" fillId="0" borderId="0" xfId="0" applyNumberFormat="1" applyFont="1"/>
    <xf numFmtId="37" fontId="23" fillId="0" borderId="0" xfId="0" applyNumberFormat="1" applyFont="1"/>
    <xf numFmtId="38" fontId="24" fillId="0" borderId="0" xfId="0" applyNumberFormat="1" applyFont="1"/>
    <xf numFmtId="38" fontId="1" fillId="0" borderId="0" xfId="0" applyNumberFormat="1" applyFont="1"/>
    <xf numFmtId="0" fontId="20" fillId="0" borderId="0" xfId="0" applyFont="1"/>
    <xf numFmtId="0" fontId="21" fillId="0" borderId="3" xfId="0" applyFont="1" applyBorder="1"/>
    <xf numFmtId="0" fontId="25" fillId="0" borderId="0" xfId="0" applyFont="1"/>
    <xf numFmtId="37" fontId="2" fillId="0" borderId="3" xfId="0" applyNumberFormat="1" applyFont="1" applyBorder="1"/>
    <xf numFmtId="38" fontId="24" fillId="0" borderId="0" xfId="0" applyNumberFormat="1" applyFont="1" applyAlignment="1">
      <alignment horizontal="center"/>
    </xf>
    <xf numFmtId="38" fontId="24" fillId="0" borderId="1" xfId="0" applyNumberFormat="1" applyFont="1" applyBorder="1" applyAlignment="1">
      <alignment horizontal="center"/>
    </xf>
    <xf numFmtId="0" fontId="24" fillId="0" borderId="1" xfId="0" applyFont="1" applyBorder="1" applyAlignment="1">
      <alignment horizontal="center"/>
    </xf>
    <xf numFmtId="0" fontId="24" fillId="0" borderId="0" xfId="0" applyFont="1" applyAlignment="1">
      <alignment horizontal="center"/>
    </xf>
    <xf numFmtId="40" fontId="2" fillId="0" borderId="0" xfId="0" applyNumberFormat="1" applyFont="1"/>
    <xf numFmtId="40" fontId="32" fillId="0" borderId="0" xfId="0" applyNumberFormat="1" applyFont="1"/>
    <xf numFmtId="0" fontId="23" fillId="0" borderId="0" xfId="0" applyFont="1" applyAlignment="1">
      <alignment horizontal="right"/>
    </xf>
    <xf numFmtId="3" fontId="1" fillId="0" borderId="4" xfId="0" applyNumberFormat="1" applyFont="1" applyBorder="1" applyAlignment="1">
      <alignment horizontal="center"/>
    </xf>
    <xf numFmtId="3" fontId="2" fillId="0" borderId="5" xfId="0" applyNumberFormat="1" applyFont="1" applyBorder="1"/>
    <xf numFmtId="3" fontId="2" fillId="0" borderId="7" xfId="0" applyNumberFormat="1" applyFont="1" applyBorder="1" applyAlignment="1">
      <alignment wrapText="1"/>
    </xf>
    <xf numFmtId="3" fontId="2" fillId="0" borderId="8" xfId="0" applyNumberFormat="1" applyFont="1" applyBorder="1" applyAlignment="1">
      <alignment horizontal="center" wrapText="1"/>
    </xf>
    <xf numFmtId="3" fontId="5" fillId="0" borderId="7" xfId="0" applyNumberFormat="1" applyFont="1" applyBorder="1" applyAlignment="1">
      <alignment horizontal="center"/>
    </xf>
    <xf numFmtId="3" fontId="5" fillId="0" borderId="8" xfId="0" applyNumberFormat="1" applyFont="1" applyBorder="1" applyAlignment="1">
      <alignment horizontal="center"/>
    </xf>
    <xf numFmtId="9" fontId="5" fillId="0" borderId="7" xfId="0" applyNumberFormat="1" applyFont="1" applyBorder="1" applyAlignment="1">
      <alignment horizontal="center"/>
    </xf>
    <xf numFmtId="37" fontId="5" fillId="0" borderId="0" xfId="0" applyNumberFormat="1" applyFont="1"/>
    <xf numFmtId="14" fontId="5" fillId="0" borderId="6" xfId="0" applyNumberFormat="1" applyFont="1" applyBorder="1" applyAlignment="1">
      <alignment horizontal="center"/>
    </xf>
    <xf numFmtId="38" fontId="5" fillId="0" borderId="1" xfId="0" applyNumberFormat="1" applyFont="1" applyBorder="1" applyAlignment="1">
      <alignment horizontal="center"/>
    </xf>
    <xf numFmtId="37" fontId="5" fillId="0" borderId="1" xfId="0" applyNumberFormat="1" applyFont="1" applyBorder="1"/>
    <xf numFmtId="14" fontId="5" fillId="0" borderId="7" xfId="0" applyNumberFormat="1" applyFont="1" applyBorder="1" applyAlignment="1">
      <alignment horizontal="center"/>
    </xf>
    <xf numFmtId="14" fontId="5" fillId="0" borderId="8" xfId="0" applyNumberFormat="1" applyFont="1" applyBorder="1" applyAlignment="1">
      <alignment horizontal="center"/>
    </xf>
    <xf numFmtId="0" fontId="21" fillId="0" borderId="7" xfId="0" applyFont="1" applyBorder="1"/>
    <xf numFmtId="0" fontId="21" fillId="0" borderId="8" xfId="0" applyFont="1" applyBorder="1"/>
    <xf numFmtId="37" fontId="21" fillId="0" borderId="0" xfId="0" applyNumberFormat="1" applyFont="1"/>
    <xf numFmtId="0" fontId="2" fillId="0" borderId="7" xfId="0" applyFont="1" applyBorder="1"/>
    <xf numFmtId="0" fontId="2" fillId="0" borderId="8" xfId="0" applyFont="1" applyBorder="1"/>
    <xf numFmtId="3" fontId="7" fillId="0" borderId="7" xfId="0" applyNumberFormat="1" applyFont="1" applyBorder="1"/>
    <xf numFmtId="37" fontId="7" fillId="0" borderId="8" xfId="0" applyNumberFormat="1" applyFont="1" applyBorder="1"/>
    <xf numFmtId="38" fontId="21" fillId="0" borderId="0" xfId="0" applyNumberFormat="1" applyFont="1"/>
    <xf numFmtId="0" fontId="6" fillId="2" borderId="0" xfId="0" applyFont="1" applyFill="1" applyAlignment="1">
      <alignment horizontal="center"/>
    </xf>
    <xf numFmtId="0" fontId="6" fillId="2" borderId="1" xfId="0" applyFont="1" applyFill="1" applyBorder="1" applyAlignment="1">
      <alignment horizontal="center"/>
    </xf>
    <xf numFmtId="9" fontId="6" fillId="2" borderId="0" xfId="0" applyNumberFormat="1" applyFont="1" applyFill="1" applyAlignment="1">
      <alignment horizontal="center"/>
    </xf>
    <xf numFmtId="9" fontId="6" fillId="2" borderId="1" xfId="0" applyNumberFormat="1" applyFont="1" applyFill="1" applyBorder="1" applyAlignment="1">
      <alignment horizontal="center"/>
    </xf>
    <xf numFmtId="0" fontId="19" fillId="0" borderId="3" xfId="0" applyFont="1" applyBorder="1" applyAlignment="1">
      <alignment horizontal="right"/>
    </xf>
    <xf numFmtId="0" fontId="28" fillId="0" borderId="0" xfId="0" applyFont="1"/>
    <xf numFmtId="3" fontId="7" fillId="0" borderId="3" xfId="0" applyNumberFormat="1" applyFont="1" applyBorder="1"/>
    <xf numFmtId="3" fontId="7" fillId="0" borderId="17" xfId="0" applyNumberFormat="1" applyFont="1" applyBorder="1"/>
    <xf numFmtId="37" fontId="10" fillId="0" borderId="0" xfId="0" applyNumberFormat="1" applyFont="1"/>
    <xf numFmtId="3" fontId="2" fillId="0" borderId="0" xfId="0" applyNumberFormat="1" applyFont="1" applyAlignment="1">
      <alignment horizontal="right"/>
    </xf>
    <xf numFmtId="9" fontId="2" fillId="0" borderId="0" xfId="0" applyNumberFormat="1" applyFont="1" applyAlignment="1">
      <alignment horizontal="right"/>
    </xf>
    <xf numFmtId="37" fontId="1" fillId="0" borderId="0" xfId="0" applyNumberFormat="1" applyFont="1"/>
    <xf numFmtId="3" fontId="2" fillId="0" borderId="3" xfId="0" applyNumberFormat="1" applyFont="1" applyBorder="1"/>
    <xf numFmtId="38" fontId="20" fillId="0" borderId="3" xfId="0" applyNumberFormat="1" applyFont="1" applyBorder="1"/>
    <xf numFmtId="0" fontId="20" fillId="0" borderId="3" xfId="0" applyFont="1" applyBorder="1"/>
    <xf numFmtId="9" fontId="2" fillId="0" borderId="3" xfId="0" applyNumberFormat="1" applyFont="1" applyBorder="1"/>
    <xf numFmtId="9" fontId="22" fillId="0" borderId="0" xfId="0" applyNumberFormat="1" applyFont="1"/>
    <xf numFmtId="9" fontId="23" fillId="0" borderId="0" xfId="0" applyNumberFormat="1" applyFont="1"/>
    <xf numFmtId="3" fontId="2" fillId="0" borderId="7" xfId="0" applyNumberFormat="1" applyFont="1" applyBorder="1"/>
    <xf numFmtId="14" fontId="8" fillId="0" borderId="0" xfId="0" applyNumberFormat="1" applyFont="1"/>
    <xf numFmtId="3" fontId="2" fillId="0" borderId="12" xfId="0" applyNumberFormat="1" applyFont="1" applyBorder="1"/>
    <xf numFmtId="3" fontId="28" fillId="0" borderId="16" xfId="0" applyNumberFormat="1" applyFont="1" applyBorder="1"/>
    <xf numFmtId="3" fontId="28" fillId="0" borderId="0" xfId="0" applyNumberFormat="1" applyFont="1"/>
    <xf numFmtId="3" fontId="2" fillId="0" borderId="19" xfId="0" applyNumberFormat="1" applyFont="1" applyBorder="1"/>
    <xf numFmtId="3" fontId="28" fillId="0" borderId="19" xfId="0" applyNumberFormat="1" applyFont="1" applyBorder="1"/>
    <xf numFmtId="9" fontId="1" fillId="0" borderId="0" xfId="0" applyNumberFormat="1" applyFont="1"/>
    <xf numFmtId="3" fontId="2" fillId="0" borderId="8" xfId="0" applyNumberFormat="1" applyFont="1" applyBorder="1"/>
    <xf numFmtId="164" fontId="2" fillId="0" borderId="0" xfId="1" applyNumberFormat="1" applyFont="1" applyFill="1"/>
    <xf numFmtId="164" fontId="7" fillId="0" borderId="0" xfId="1" applyNumberFormat="1" applyFont="1" applyFill="1"/>
    <xf numFmtId="164" fontId="2" fillId="0" borderId="0" xfId="1" applyNumberFormat="1" applyFont="1" applyFill="1" applyAlignment="1">
      <alignment horizontal="center"/>
    </xf>
    <xf numFmtId="164" fontId="7" fillId="0" borderId="0" xfId="1" applyNumberFormat="1" applyFont="1" applyFill="1" applyAlignment="1">
      <alignment horizontal="center"/>
    </xf>
    <xf numFmtId="164" fontId="10" fillId="0" borderId="0" xfId="1" applyNumberFormat="1" applyFont="1" applyFill="1" applyAlignment="1">
      <alignment horizontal="center"/>
    </xf>
    <xf numFmtId="164" fontId="24" fillId="0" borderId="0" xfId="1" applyNumberFormat="1" applyFont="1" applyFill="1" applyAlignment="1">
      <alignment horizontal="center"/>
    </xf>
    <xf numFmtId="164" fontId="33" fillId="0" borderId="0" xfId="1" applyNumberFormat="1" applyFont="1" applyFill="1" applyAlignment="1">
      <alignment horizontal="center"/>
    </xf>
    <xf numFmtId="164" fontId="35" fillId="0" borderId="0" xfId="1" applyNumberFormat="1" applyFont="1" applyFill="1" applyAlignment="1">
      <alignment horizontal="center"/>
    </xf>
    <xf numFmtId="164" fontId="24" fillId="0" borderId="0" xfId="1" applyNumberFormat="1" applyFont="1" applyFill="1"/>
    <xf numFmtId="164" fontId="5" fillId="0" borderId="0" xfId="1" applyNumberFormat="1" applyFont="1" applyFill="1" applyAlignment="1">
      <alignment horizontal="center"/>
    </xf>
    <xf numFmtId="164" fontId="13" fillId="0" borderId="0" xfId="1" applyNumberFormat="1" applyFont="1" applyFill="1" applyAlignment="1">
      <alignment horizontal="center"/>
    </xf>
    <xf numFmtId="164" fontId="29" fillId="0" borderId="0" xfId="1" applyNumberFormat="1" applyFont="1" applyFill="1" applyAlignment="1">
      <alignment horizontal="center"/>
    </xf>
    <xf numFmtId="164" fontId="18" fillId="0" borderId="0" xfId="1" applyNumberFormat="1" applyFont="1" applyFill="1" applyAlignment="1">
      <alignment horizontal="center"/>
    </xf>
    <xf numFmtId="164" fontId="31" fillId="0" borderId="0" xfId="1" applyNumberFormat="1" applyFont="1" applyFill="1" applyAlignment="1">
      <alignment horizontal="center"/>
    </xf>
    <xf numFmtId="164" fontId="17" fillId="0" borderId="0" xfId="1" applyNumberFormat="1" applyFont="1" applyFill="1" applyAlignment="1">
      <alignment horizontal="center"/>
    </xf>
    <xf numFmtId="164" fontId="34" fillId="0" borderId="0" xfId="1" applyNumberFormat="1" applyFont="1" applyFill="1" applyBorder="1" applyAlignment="1">
      <alignment horizontal="center"/>
    </xf>
    <xf numFmtId="164" fontId="5" fillId="0" borderId="1" xfId="1" applyNumberFormat="1" applyFont="1" applyFill="1" applyBorder="1"/>
    <xf numFmtId="164" fontId="13" fillId="0" borderId="1" xfId="1" applyNumberFormat="1" applyFont="1" applyFill="1" applyBorder="1"/>
    <xf numFmtId="164" fontId="30" fillId="0" borderId="1" xfId="1" applyNumberFormat="1" applyFont="1" applyFill="1" applyBorder="1" applyAlignment="1">
      <alignment horizontal="center"/>
    </xf>
    <xf numFmtId="164" fontId="18" fillId="0" borderId="1" xfId="1" applyNumberFormat="1" applyFont="1" applyFill="1" applyBorder="1" applyAlignment="1">
      <alignment horizontal="center"/>
    </xf>
    <xf numFmtId="164" fontId="2" fillId="0" borderId="1" xfId="1" applyNumberFormat="1" applyFont="1" applyFill="1" applyBorder="1"/>
    <xf numFmtId="164" fontId="17" fillId="0" borderId="1" xfId="1" applyNumberFormat="1" applyFont="1" applyFill="1" applyBorder="1" applyAlignment="1">
      <alignment horizontal="center"/>
    </xf>
    <xf numFmtId="164" fontId="5" fillId="0" borderId="1" xfId="1" applyNumberFormat="1" applyFont="1" applyFill="1" applyBorder="1" applyAlignment="1">
      <alignment horizontal="center"/>
    </xf>
    <xf numFmtId="164" fontId="13" fillId="0" borderId="1" xfId="1" applyNumberFormat="1" applyFont="1" applyFill="1" applyBorder="1" applyAlignment="1">
      <alignment horizontal="center"/>
    </xf>
    <xf numFmtId="164" fontId="33" fillId="0" borderId="1" xfId="1" applyNumberFormat="1" applyFont="1" applyFill="1" applyBorder="1" applyAlignment="1">
      <alignment horizontal="center"/>
    </xf>
    <xf numFmtId="164" fontId="7" fillId="0" borderId="1" xfId="1" applyNumberFormat="1" applyFont="1" applyFill="1" applyBorder="1"/>
    <xf numFmtId="164" fontId="24" fillId="0" borderId="1" xfId="1" applyNumberFormat="1" applyFont="1" applyFill="1" applyBorder="1" applyAlignment="1">
      <alignment horizontal="center"/>
    </xf>
    <xf numFmtId="164" fontId="35" fillId="0" borderId="1" xfId="1" applyNumberFormat="1" applyFont="1" applyFill="1" applyBorder="1" applyAlignment="1">
      <alignment horizontal="center"/>
    </xf>
    <xf numFmtId="164" fontId="35" fillId="0" borderId="0" xfId="1" applyNumberFormat="1" applyFont="1" applyFill="1"/>
    <xf numFmtId="38" fontId="2" fillId="0" borderId="0" xfId="1" applyNumberFormat="1" applyFont="1" applyFill="1"/>
    <xf numFmtId="38" fontId="7" fillId="0" borderId="0" xfId="1" applyNumberFormat="1" applyFont="1" applyFill="1"/>
    <xf numFmtId="38" fontId="7" fillId="0" borderId="0" xfId="1" applyNumberFormat="1" applyFont="1" applyFill="1" applyAlignment="1">
      <alignment horizontal="center"/>
    </xf>
    <xf numFmtId="38" fontId="13" fillId="0" borderId="0" xfId="1" applyNumberFormat="1" applyFont="1" applyFill="1" applyAlignment="1">
      <alignment horizontal="center"/>
    </xf>
    <xf numFmtId="38" fontId="5" fillId="0" borderId="0" xfId="1" applyNumberFormat="1" applyFont="1" applyFill="1" applyAlignment="1">
      <alignment horizontal="center"/>
    </xf>
    <xf numFmtId="38" fontId="12" fillId="0" borderId="0" xfId="1" applyNumberFormat="1" applyFont="1" applyFill="1" applyAlignment="1">
      <alignment horizontal="center"/>
    </xf>
    <xf numFmtId="38" fontId="2" fillId="0" borderId="0" xfId="1" applyNumberFormat="1" applyFont="1" applyFill="1" applyAlignment="1">
      <alignment horizontal="right"/>
    </xf>
    <xf numFmtId="38" fontId="35" fillId="0" borderId="0" xfId="1" applyNumberFormat="1" applyFont="1" applyFill="1" applyAlignment="1">
      <alignment horizontal="center"/>
    </xf>
    <xf numFmtId="38" fontId="24" fillId="0" borderId="0" xfId="1" applyNumberFormat="1" applyFont="1" applyFill="1" applyAlignment="1">
      <alignment horizontal="right"/>
    </xf>
    <xf numFmtId="38" fontId="10" fillId="0" borderId="0" xfId="1" applyNumberFormat="1" applyFont="1" applyFill="1" applyAlignment="1">
      <alignment horizontal="center"/>
    </xf>
    <xf numFmtId="38" fontId="24" fillId="0" borderId="0" xfId="1" applyNumberFormat="1" applyFont="1" applyFill="1"/>
    <xf numFmtId="38" fontId="35" fillId="0" borderId="0" xfId="1" applyNumberFormat="1" applyFont="1" applyFill="1"/>
    <xf numFmtId="38" fontId="10" fillId="0" borderId="0" xfId="1" applyNumberFormat="1" applyFont="1" applyFill="1"/>
    <xf numFmtId="38" fontId="29" fillId="0" borderId="0" xfId="1" applyNumberFormat="1" applyFont="1" applyFill="1" applyAlignment="1">
      <alignment horizontal="center"/>
    </xf>
    <xf numFmtId="38" fontId="33" fillId="0" borderId="0" xfId="1" applyNumberFormat="1" applyFont="1" applyFill="1" applyAlignment="1">
      <alignment horizontal="right"/>
    </xf>
    <xf numFmtId="38" fontId="2" fillId="0" borderId="0" xfId="1" applyNumberFormat="1" applyFont="1" applyFill="1" applyAlignment="1">
      <alignment horizontal="left"/>
    </xf>
    <xf numFmtId="38" fontId="7" fillId="0" borderId="0" xfId="1" applyNumberFormat="1" applyFont="1" applyFill="1" applyAlignment="1">
      <alignment horizontal="left"/>
    </xf>
    <xf numFmtId="38" fontId="7" fillId="0" borderId="0" xfId="1" applyNumberFormat="1" applyFont="1" applyFill="1" applyAlignment="1">
      <alignment horizontal="right"/>
    </xf>
    <xf numFmtId="38" fontId="10" fillId="0" borderId="0" xfId="1" applyNumberFormat="1" applyFont="1" applyFill="1" applyAlignment="1">
      <alignment horizontal="right"/>
    </xf>
    <xf numFmtId="38" fontId="2" fillId="0" borderId="0" xfId="1" applyNumberFormat="1" applyFont="1" applyFill="1" applyBorder="1"/>
    <xf numFmtId="38" fontId="7" fillId="0" borderId="0" xfId="1" applyNumberFormat="1" applyFont="1" applyFill="1" applyBorder="1"/>
    <xf numFmtId="38" fontId="7" fillId="0" borderId="0" xfId="1" applyNumberFormat="1" applyFont="1" applyFill="1" applyBorder="1" applyAlignment="1">
      <alignment horizontal="right"/>
    </xf>
    <xf numFmtId="38" fontId="2" fillId="0" borderId="3" xfId="1" applyNumberFormat="1" applyFont="1" applyFill="1" applyBorder="1"/>
    <xf numFmtId="38" fontId="12" fillId="0" borderId="3" xfId="1" applyNumberFormat="1" applyFont="1" applyFill="1" applyBorder="1"/>
    <xf numFmtId="38" fontId="2" fillId="0" borderId="3" xfId="1" applyNumberFormat="1" applyFont="1" applyFill="1" applyBorder="1" applyAlignment="1">
      <alignment horizontal="center"/>
    </xf>
    <xf numFmtId="38" fontId="18" fillId="0" borderId="3" xfId="1" applyNumberFormat="1" applyFont="1" applyFill="1" applyBorder="1" applyAlignment="1">
      <alignment horizontal="center"/>
    </xf>
    <xf numFmtId="38" fontId="7" fillId="0" borderId="3" xfId="1" applyNumberFormat="1" applyFont="1" applyFill="1" applyBorder="1" applyAlignment="1">
      <alignment horizontal="left"/>
    </xf>
    <xf numFmtId="38" fontId="5" fillId="0" borderId="3" xfId="1" applyNumberFormat="1" applyFont="1" applyFill="1" applyBorder="1" applyAlignment="1">
      <alignment horizontal="center"/>
    </xf>
    <xf numFmtId="38" fontId="12" fillId="0" borderId="3" xfId="1" applyNumberFormat="1" applyFont="1" applyFill="1" applyBorder="1" applyAlignment="1">
      <alignment horizontal="center"/>
    </xf>
    <xf numFmtId="38" fontId="7" fillId="0" borderId="3" xfId="1" applyNumberFormat="1" applyFont="1" applyFill="1" applyBorder="1"/>
    <xf numFmtId="38" fontId="25" fillId="0" borderId="3" xfId="1" applyNumberFormat="1" applyFont="1" applyFill="1" applyBorder="1" applyAlignment="1">
      <alignment horizontal="center"/>
    </xf>
    <xf numFmtId="38" fontId="35" fillId="0" borderId="3" xfId="1" applyNumberFormat="1" applyFont="1" applyFill="1" applyBorder="1"/>
    <xf numFmtId="38" fontId="10" fillId="0" borderId="3" xfId="1" applyNumberFormat="1" applyFont="1" applyFill="1" applyBorder="1"/>
    <xf numFmtId="38" fontId="24" fillId="0" borderId="3" xfId="1" applyNumberFormat="1" applyFont="1" applyFill="1" applyBorder="1"/>
    <xf numFmtId="38" fontId="1" fillId="0" borderId="0" xfId="1" applyNumberFormat="1" applyFont="1" applyFill="1"/>
    <xf numFmtId="38" fontId="10" fillId="0" borderId="0" xfId="1" applyNumberFormat="1" applyFont="1" applyFill="1" applyBorder="1" applyAlignment="1">
      <alignment horizontal="center"/>
    </xf>
    <xf numFmtId="38" fontId="24" fillId="0" borderId="0" xfId="1" applyNumberFormat="1" applyFont="1" applyFill="1" applyBorder="1"/>
    <xf numFmtId="38" fontId="35" fillId="0" borderId="0" xfId="1" applyNumberFormat="1" applyFont="1" applyFill="1" applyBorder="1"/>
    <xf numFmtId="38" fontId="10" fillId="0" borderId="0" xfId="1" applyNumberFormat="1" applyFont="1" applyFill="1" applyBorder="1"/>
    <xf numFmtId="38" fontId="22" fillId="0" borderId="0" xfId="1" applyNumberFormat="1" applyFont="1" applyFill="1"/>
    <xf numFmtId="38" fontId="9" fillId="0" borderId="0" xfId="1" applyNumberFormat="1" applyFont="1" applyFill="1" applyBorder="1"/>
    <xf numFmtId="38" fontId="22" fillId="0" borderId="0" xfId="1" applyNumberFormat="1" applyFont="1" applyFill="1" applyBorder="1"/>
    <xf numFmtId="38" fontId="9" fillId="0" borderId="0" xfId="1" applyNumberFormat="1" applyFont="1" applyFill="1" applyAlignment="1">
      <alignment horizontal="center"/>
    </xf>
    <xf numFmtId="38" fontId="9" fillId="0" borderId="0" xfId="1" applyNumberFormat="1" applyFont="1" applyFill="1"/>
    <xf numFmtId="38" fontId="38" fillId="0" borderId="0" xfId="1" applyNumberFormat="1" applyFont="1" applyFill="1" applyAlignment="1">
      <alignment horizontal="center"/>
    </xf>
    <xf numFmtId="38" fontId="36" fillId="0" borderId="0" xfId="1" applyNumberFormat="1" applyFont="1" applyFill="1" applyBorder="1"/>
    <xf numFmtId="38" fontId="23" fillId="0" borderId="0" xfId="1" applyNumberFormat="1" applyFont="1" applyFill="1"/>
    <xf numFmtId="38" fontId="11" fillId="0" borderId="0" xfId="1" applyNumberFormat="1" applyFont="1" applyFill="1"/>
    <xf numFmtId="38" fontId="11" fillId="0" borderId="0" xfId="1" applyNumberFormat="1" applyFont="1" applyFill="1" applyAlignment="1">
      <alignment horizontal="center"/>
    </xf>
    <xf numFmtId="38" fontId="37" fillId="0" borderId="0" xfId="1" applyNumberFormat="1" applyFont="1" applyFill="1"/>
    <xf numFmtId="38" fontId="36" fillId="0" borderId="0" xfId="1" applyNumberFormat="1" applyFont="1" applyFill="1"/>
    <xf numFmtId="38" fontId="8" fillId="0" borderId="0" xfId="1" applyNumberFormat="1" applyFont="1" applyFill="1"/>
    <xf numFmtId="38" fontId="19" fillId="0" borderId="0" xfId="1" applyNumberFormat="1" applyFont="1" applyFill="1"/>
    <xf numFmtId="38" fontId="32" fillId="0" borderId="0" xfId="1" applyNumberFormat="1" applyFont="1" applyFill="1"/>
    <xf numFmtId="38" fontId="32" fillId="0" borderId="0" xfId="1" applyNumberFormat="1" applyFont="1" applyFill="1" applyBorder="1" applyAlignment="1">
      <alignment horizontal="center"/>
    </xf>
    <xf numFmtId="3" fontId="8" fillId="0" borderId="0" xfId="0" applyNumberFormat="1" applyFont="1"/>
    <xf numFmtId="3" fontId="7" fillId="0" borderId="11" xfId="0" applyNumberFormat="1" applyFont="1" applyBorder="1"/>
    <xf numFmtId="3" fontId="7" fillId="0" borderId="15" xfId="0" applyNumberFormat="1" applyFont="1" applyBorder="1"/>
    <xf numFmtId="3" fontId="7" fillId="0" borderId="18" xfId="0" applyNumberFormat="1" applyFont="1" applyBorder="1"/>
    <xf numFmtId="3" fontId="9" fillId="0" borderId="15" xfId="0" applyNumberFormat="1" applyFont="1" applyBorder="1"/>
    <xf numFmtId="3" fontId="8" fillId="0" borderId="7" xfId="0" applyNumberFormat="1" applyFont="1" applyBorder="1"/>
    <xf numFmtId="37" fontId="2" fillId="0" borderId="8" xfId="0" applyNumberFormat="1" applyFont="1" applyBorder="1"/>
    <xf numFmtId="37" fontId="24" fillId="0" borderId="8" xfId="0" applyNumberFormat="1" applyFont="1" applyBorder="1"/>
    <xf numFmtId="37" fontId="22" fillId="0" borderId="8" xfId="0" applyNumberFormat="1" applyFont="1" applyBorder="1"/>
    <xf numFmtId="37" fontId="2" fillId="0" borderId="10" xfId="0" applyNumberFormat="1" applyFont="1" applyBorder="1"/>
    <xf numFmtId="37" fontId="24" fillId="0" borderId="14" xfId="0" applyNumberFormat="1" applyFont="1" applyBorder="1"/>
    <xf numFmtId="37" fontId="2" fillId="0" borderId="11" xfId="0" applyNumberFormat="1" applyFont="1" applyBorder="1"/>
    <xf numFmtId="37" fontId="24" fillId="0" borderId="15" xfId="0" applyNumberFormat="1" applyFont="1" applyBorder="1"/>
    <xf numFmtId="37" fontId="24" fillId="0" borderId="0" xfId="0" applyNumberFormat="1" applyFont="1"/>
    <xf numFmtId="37" fontId="2" fillId="0" borderId="15" xfId="0" applyNumberFormat="1" applyFont="1" applyBorder="1"/>
    <xf numFmtId="3" fontId="2" fillId="0" borderId="18" xfId="0" applyNumberFormat="1" applyFont="1" applyBorder="1"/>
    <xf numFmtId="3" fontId="2" fillId="0" borderId="13" xfId="0" applyNumberFormat="1" applyFont="1" applyBorder="1"/>
    <xf numFmtId="37" fontId="22" fillId="0" borderId="14" xfId="0" applyNumberFormat="1" applyFont="1" applyBorder="1"/>
    <xf numFmtId="37" fontId="2" fillId="0" borderId="14" xfId="0" applyNumberFormat="1" applyFont="1" applyBorder="1"/>
    <xf numFmtId="37" fontId="27" fillId="0" borderId="8" xfId="0" applyNumberFormat="1" applyFont="1" applyBorder="1"/>
    <xf numFmtId="3" fontId="22" fillId="0" borderId="7" xfId="0" applyNumberFormat="1" applyFont="1" applyBorder="1"/>
    <xf numFmtId="3" fontId="23" fillId="0" borderId="7" xfId="0" applyNumberFormat="1" applyFont="1" applyBorder="1"/>
    <xf numFmtId="37" fontId="23" fillId="0" borderId="8" xfId="0" applyNumberFormat="1" applyFont="1" applyBorder="1"/>
    <xf numFmtId="3" fontId="2" fillId="0" borderId="9" xfId="0" applyNumberFormat="1" applyFont="1" applyBorder="1"/>
    <xf numFmtId="3" fontId="22" fillId="0" borderId="13" xfId="0" applyNumberFormat="1" applyFont="1" applyBorder="1"/>
    <xf numFmtId="38" fontId="2" fillId="0" borderId="0" xfId="1" applyNumberFormat="1" applyFont="1" applyFill="1" applyAlignment="1">
      <alignment horizontal="center"/>
    </xf>
    <xf numFmtId="38" fontId="24" fillId="0" borderId="0" xfId="1" applyNumberFormat="1" applyFont="1" applyFill="1" applyAlignment="1">
      <alignment horizontal="center"/>
    </xf>
    <xf numFmtId="38" fontId="2" fillId="0" borderId="0" xfId="1" applyNumberFormat="1" applyFont="1" applyFill="1" applyBorder="1" applyAlignment="1">
      <alignment horizontal="center"/>
    </xf>
    <xf numFmtId="38" fontId="2" fillId="0" borderId="0" xfId="1" applyNumberFormat="1" applyFont="1" applyFill="1" applyBorder="1" applyAlignment="1">
      <alignment horizontal="left"/>
    </xf>
    <xf numFmtId="0" fontId="2" fillId="0" borderId="0" xfId="0" applyFont="1" applyAlignment="1">
      <alignment horizontal="right"/>
    </xf>
    <xf numFmtId="38" fontId="2" fillId="0" borderId="0" xfId="1" applyNumberFormat="1" applyFont="1" applyFill="1" applyBorder="1" applyAlignment="1">
      <alignment horizontal="right"/>
    </xf>
    <xf numFmtId="14" fontId="11" fillId="0" borderId="0" xfId="0" applyNumberFormat="1" applyFont="1" applyAlignment="1">
      <alignment horizontal="right"/>
    </xf>
    <xf numFmtId="0" fontId="1" fillId="0" borderId="0" xfId="0" applyFont="1" applyFill="1"/>
    <xf numFmtId="0" fontId="8" fillId="0" borderId="0" xfId="0" applyFont="1" applyFill="1"/>
    <xf numFmtId="38" fontId="24" fillId="0" borderId="0" xfId="0" applyNumberFormat="1" applyFont="1" applyFill="1"/>
  </cellXfs>
  <cellStyles count="2">
    <cellStyle name="Comma" xfId="1" builtinId="3"/>
    <cellStyle name="Normal" xfId="0" builtinId="0"/>
  </cellStyles>
  <dxfs count="0"/>
  <tableStyles count="0" defaultTableStyle="TableStyleMedium2" defaultPivotStyle="PivotStyleLight16"/>
  <colors>
    <mruColors>
      <color rgb="FF0070C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arah Lund" id="{0C6B0A4E-8EFD-4390-9824-9FDF8772BACF}" userId="S::sjlund@adacounty.id.gov::85b65343-708e-4aba-ba7d-09f0b4ac6a1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 dT="2025-01-10T14:47:03.39" personId="{0C6B0A4E-8EFD-4390-9824-9FDF8772BACF}" id="{CC5E0717-68C3-48CE-95B6-BA1A6738E0FF}">
    <text>1/1/25 Report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4"/>
  <sheetViews>
    <sheetView zoomScaleNormal="100" workbookViewId="0">
      <pane xSplit="3" ySplit="6" topLeftCell="D7" activePane="bottomRight" state="frozen"/>
      <selection pane="topRight" activeCell="D1" sqref="D1"/>
      <selection pane="bottomLeft" activeCell="A7" sqref="A7"/>
      <selection pane="bottomRight" activeCell="W67" sqref="W67"/>
    </sheetView>
  </sheetViews>
  <sheetFormatPr defaultColWidth="9.140625" defaultRowHeight="12.75" x14ac:dyDescent="0.2"/>
  <cols>
    <col min="1" max="1" width="10" style="28" customWidth="1"/>
    <col min="2" max="2" width="18.5703125" style="28" customWidth="1"/>
    <col min="3" max="3" width="0.85546875" style="28" customWidth="1"/>
    <col min="4" max="4" width="14" style="2" customWidth="1"/>
    <col min="5" max="5" width="1.140625" style="2" customWidth="1"/>
    <col min="6" max="6" width="20.85546875" style="2" bestFit="1" customWidth="1"/>
    <col min="7" max="7" width="1" style="28" customWidth="1"/>
    <col min="8" max="8" width="14.140625" style="2" customWidth="1"/>
    <col min="9" max="9" width="14.7109375" style="2" customWidth="1"/>
    <col min="10" max="10" width="15.5703125" style="2" customWidth="1"/>
    <col min="11" max="11" width="1.140625" style="28" customWidth="1"/>
    <col min="12" max="12" width="14.140625" style="2" customWidth="1"/>
    <col min="13" max="13" width="14.85546875" style="2" customWidth="1"/>
    <col min="14" max="14" width="1" style="2" customWidth="1"/>
    <col min="15" max="15" width="14.85546875" style="2" bestFit="1" customWidth="1"/>
    <col min="16" max="16" width="1" style="2" customWidth="1"/>
    <col min="17" max="17" width="11.7109375" style="2" customWidth="1"/>
    <col min="18" max="18" width="0.7109375" style="28" customWidth="1"/>
    <col min="19" max="19" width="13.85546875" style="106" customWidth="1"/>
    <col min="20" max="20" width="16.42578125" style="107" customWidth="1"/>
    <col min="21" max="21" width="1" style="2" customWidth="1"/>
    <col min="22" max="22" width="14.42578125" style="2" customWidth="1"/>
    <col min="23" max="23" width="11.85546875" style="1" customWidth="1"/>
    <col min="24" max="24" width="14" style="2" bestFit="1" customWidth="1"/>
    <col min="25" max="25" width="1.5703125" style="2" customWidth="1"/>
    <col min="26" max="26" width="14.28515625" style="2" bestFit="1" customWidth="1"/>
    <col min="27" max="27" width="1.28515625" style="28" customWidth="1"/>
    <col min="28" max="28" width="11.85546875" style="28" customWidth="1"/>
    <col min="29" max="16384" width="9.140625" style="28"/>
  </cols>
  <sheetData>
    <row r="1" spans="1:28" s="2" customFormat="1" x14ac:dyDescent="0.2">
      <c r="A1" s="6" t="s">
        <v>144</v>
      </c>
      <c r="B1" s="6"/>
      <c r="C1" s="6"/>
      <c r="D1" s="3"/>
      <c r="F1" s="4"/>
      <c r="P1" s="3"/>
      <c r="Q1" s="3"/>
      <c r="R1" s="3"/>
      <c r="S1" s="90"/>
      <c r="T1" s="91"/>
      <c r="U1" s="3"/>
      <c r="V1" s="3"/>
      <c r="W1" s="1"/>
      <c r="X1" s="9"/>
      <c r="Y1" s="3"/>
      <c r="Z1" s="10"/>
    </row>
    <row r="2" spans="1:28" ht="38.25" x14ac:dyDescent="0.2">
      <c r="A2" s="29"/>
      <c r="B2" s="29"/>
      <c r="C2" s="29"/>
      <c r="D2" s="57" t="s">
        <v>1</v>
      </c>
      <c r="F2" s="58" t="s">
        <v>124</v>
      </c>
      <c r="G2" s="44"/>
      <c r="H2" s="12" t="s">
        <v>53</v>
      </c>
      <c r="I2" s="12" t="s">
        <v>54</v>
      </c>
      <c r="J2" s="12" t="s">
        <v>55</v>
      </c>
      <c r="K2" s="11"/>
      <c r="L2" s="11" t="s">
        <v>50</v>
      </c>
      <c r="M2" s="11" t="s">
        <v>51</v>
      </c>
      <c r="N2" s="11"/>
      <c r="O2" s="12" t="s">
        <v>56</v>
      </c>
      <c r="P2" s="3"/>
      <c r="Q2" s="3"/>
      <c r="R2" s="30"/>
      <c r="S2" s="92" t="s">
        <v>115</v>
      </c>
      <c r="T2" s="93" t="s">
        <v>116</v>
      </c>
      <c r="U2" s="13"/>
      <c r="V2" s="13" t="s">
        <v>117</v>
      </c>
      <c r="W2" s="14" t="s">
        <v>0</v>
      </c>
      <c r="X2" s="9" t="s">
        <v>1</v>
      </c>
      <c r="Y2" s="3"/>
      <c r="Z2" s="15"/>
    </row>
    <row r="3" spans="1:28" ht="13.5" thickBot="1" x14ac:dyDescent="0.25">
      <c r="A3" s="29"/>
      <c r="B3" s="45"/>
      <c r="C3" s="45"/>
      <c r="D3" s="69" t="s">
        <v>134</v>
      </c>
      <c r="E3" s="11"/>
      <c r="F3" s="59">
        <v>46022</v>
      </c>
      <c r="G3" s="44"/>
      <c r="H3" s="11"/>
      <c r="I3" s="111" t="s">
        <v>102</v>
      </c>
      <c r="J3" s="111" t="s">
        <v>104</v>
      </c>
      <c r="K3" s="44"/>
      <c r="L3" s="59">
        <v>46022</v>
      </c>
      <c r="M3" s="59">
        <v>46022</v>
      </c>
      <c r="N3" s="11"/>
      <c r="O3" s="59">
        <v>46022</v>
      </c>
      <c r="P3" s="5"/>
      <c r="Q3" s="69" t="s">
        <v>7</v>
      </c>
      <c r="R3" s="47"/>
      <c r="S3" s="94" t="s">
        <v>90</v>
      </c>
      <c r="T3" s="95" t="s">
        <v>91</v>
      </c>
      <c r="U3" s="7"/>
      <c r="V3" s="5" t="s">
        <v>44</v>
      </c>
      <c r="W3" s="16" t="s">
        <v>8</v>
      </c>
      <c r="X3" s="17" t="s">
        <v>9</v>
      </c>
      <c r="Y3" s="18"/>
      <c r="Z3" s="19" t="s">
        <v>108</v>
      </c>
    </row>
    <row r="4" spans="1:28" ht="13.5" thickBot="1" x14ac:dyDescent="0.25">
      <c r="A4" s="45"/>
      <c r="B4" s="45"/>
      <c r="C4" s="45"/>
      <c r="D4" s="5" t="s">
        <v>17</v>
      </c>
      <c r="E4" s="11"/>
      <c r="F4" s="5" t="s">
        <v>45</v>
      </c>
      <c r="G4" s="44"/>
      <c r="H4" s="11"/>
      <c r="I4" s="111" t="s">
        <v>103</v>
      </c>
      <c r="J4" s="111" t="s">
        <v>105</v>
      </c>
      <c r="K4" s="44"/>
      <c r="L4" s="20">
        <v>0.98</v>
      </c>
      <c r="M4" s="20">
        <v>0.95</v>
      </c>
      <c r="N4" s="11"/>
      <c r="O4" s="19" t="s">
        <v>1</v>
      </c>
      <c r="P4" s="21"/>
      <c r="Q4" s="5" t="s">
        <v>18</v>
      </c>
      <c r="R4" s="46"/>
      <c r="S4" s="94" t="s">
        <v>19</v>
      </c>
      <c r="T4" s="95" t="s">
        <v>20</v>
      </c>
      <c r="U4" s="7"/>
      <c r="V4" s="5" t="s">
        <v>46</v>
      </c>
      <c r="W4" s="16"/>
      <c r="X4" s="17" t="s">
        <v>21</v>
      </c>
      <c r="Y4" s="5"/>
      <c r="Z4" s="19" t="s">
        <v>109</v>
      </c>
    </row>
    <row r="5" spans="1:28" ht="13.5" thickBot="1" x14ac:dyDescent="0.25">
      <c r="A5" s="45"/>
      <c r="B5" s="45"/>
      <c r="C5" s="45"/>
      <c r="D5" s="5" t="s">
        <v>28</v>
      </c>
      <c r="E5" s="11"/>
      <c r="F5" s="19">
        <v>1</v>
      </c>
      <c r="G5" s="44"/>
      <c r="H5" s="11"/>
      <c r="I5" s="111" t="s">
        <v>101</v>
      </c>
      <c r="J5" s="111" t="s">
        <v>106</v>
      </c>
      <c r="K5" s="44"/>
      <c r="L5" s="18" t="s">
        <v>52</v>
      </c>
      <c r="M5" s="18" t="s">
        <v>52</v>
      </c>
      <c r="N5" s="11"/>
      <c r="O5" s="18" t="s">
        <v>1</v>
      </c>
      <c r="P5" s="5"/>
      <c r="Q5" s="5" t="s">
        <v>23</v>
      </c>
      <c r="R5" s="46"/>
      <c r="S5" s="96" t="s">
        <v>29</v>
      </c>
      <c r="T5" s="95" t="s">
        <v>47</v>
      </c>
      <c r="U5" s="7"/>
      <c r="V5" s="5" t="s">
        <v>48</v>
      </c>
      <c r="W5" s="16"/>
      <c r="X5" s="97"/>
      <c r="Y5" s="7"/>
      <c r="Z5" s="113" t="s">
        <v>111</v>
      </c>
    </row>
    <row r="6" spans="1:28" s="2" customFormat="1" ht="13.5" thickBot="1" x14ac:dyDescent="0.25">
      <c r="A6" s="23" t="s">
        <v>6</v>
      </c>
      <c r="B6" s="23"/>
      <c r="C6" s="23"/>
      <c r="D6" s="8"/>
      <c r="E6" s="24"/>
      <c r="F6" s="20">
        <v>0.9</v>
      </c>
      <c r="G6" s="24"/>
      <c r="H6" s="24"/>
      <c r="I6" s="112" t="s">
        <v>100</v>
      </c>
      <c r="J6" s="112" t="s">
        <v>107</v>
      </c>
      <c r="K6" s="24"/>
      <c r="L6" s="24"/>
      <c r="M6" s="26"/>
      <c r="N6" s="24"/>
      <c r="O6" s="24"/>
      <c r="P6" s="25"/>
      <c r="Q6" s="25"/>
      <c r="R6" s="25"/>
      <c r="S6" s="98">
        <v>46031</v>
      </c>
      <c r="T6" s="98">
        <v>46031</v>
      </c>
      <c r="U6" s="8"/>
      <c r="V6" s="25"/>
      <c r="W6" s="99"/>
      <c r="X6" s="100"/>
      <c r="Y6" s="8"/>
      <c r="Z6" s="114" t="s">
        <v>110</v>
      </c>
      <c r="AA6" s="27"/>
    </row>
    <row r="7" spans="1:28" s="2" customFormat="1" x14ac:dyDescent="0.2">
      <c r="A7" s="22"/>
      <c r="B7" s="22"/>
      <c r="C7" s="22"/>
      <c r="D7" s="7"/>
      <c r="E7" s="11"/>
      <c r="F7" s="19"/>
      <c r="G7" s="11"/>
      <c r="H7" s="11"/>
      <c r="I7" s="11"/>
      <c r="J7" s="11"/>
      <c r="K7" s="11"/>
      <c r="L7" s="11"/>
      <c r="M7" s="19"/>
      <c r="N7" s="11"/>
      <c r="O7" s="11"/>
      <c r="P7" s="5"/>
      <c r="Q7" s="5"/>
      <c r="R7" s="46"/>
      <c r="S7" s="101"/>
      <c r="T7" s="102"/>
      <c r="U7" s="7"/>
      <c r="V7" s="5"/>
      <c r="W7" s="16"/>
      <c r="X7" s="97"/>
      <c r="Y7" s="7"/>
      <c r="Z7" s="19"/>
      <c r="AA7" s="28"/>
      <c r="AB7" s="28"/>
    </row>
    <row r="8" spans="1:28" s="2" customFormat="1" hidden="1" x14ac:dyDescent="0.2">
      <c r="A8" s="22" t="s">
        <v>99</v>
      </c>
      <c r="B8" s="22"/>
      <c r="C8" s="22"/>
      <c r="D8" s="7">
        <v>86938939</v>
      </c>
      <c r="E8" s="11"/>
      <c r="F8" s="5">
        <v>164524591</v>
      </c>
      <c r="G8" s="11"/>
      <c r="H8" s="42">
        <v>120937553</v>
      </c>
      <c r="I8" s="1">
        <f>J8-H8</f>
        <v>47269010</v>
      </c>
      <c r="J8" s="42">
        <v>168206563</v>
      </c>
      <c r="K8" s="42"/>
      <c r="L8" s="42">
        <f>H8*L4</f>
        <v>118518801.94</v>
      </c>
      <c r="M8" s="16">
        <f>I8*M4</f>
        <v>44905559.5</v>
      </c>
      <c r="N8" s="42"/>
      <c r="O8" s="3">
        <f>M8+L8</f>
        <v>163424361.44</v>
      </c>
      <c r="P8" s="16"/>
      <c r="Q8" s="3">
        <f>D8-F8+O8</f>
        <v>85838709.439999998</v>
      </c>
      <c r="R8" s="5"/>
      <c r="S8" s="94">
        <f>(27149028+20000000)*1.1</f>
        <v>51863930.800000004</v>
      </c>
      <c r="T8" s="95">
        <f>16348509*1.05</f>
        <v>17165934.449999999</v>
      </c>
      <c r="U8" s="7"/>
      <c r="V8" s="5">
        <f>S8-T8</f>
        <v>34697996.350000009</v>
      </c>
      <c r="W8" s="16"/>
      <c r="X8" s="97">
        <f>Q8-V8</f>
        <v>51140713.089999989</v>
      </c>
      <c r="Y8" s="7"/>
      <c r="Z8" s="16">
        <v>-29500000</v>
      </c>
      <c r="AB8" s="9">
        <f>SUM(X8:Z8)</f>
        <v>21640713.089999989</v>
      </c>
    </row>
    <row r="9" spans="1:28" x14ac:dyDescent="0.2">
      <c r="B9" s="45"/>
      <c r="C9" s="45"/>
      <c r="D9" s="7"/>
      <c r="E9" s="11"/>
      <c r="F9" s="19"/>
      <c r="G9" s="44"/>
      <c r="H9" s="11"/>
      <c r="I9" s="11"/>
      <c r="J9" s="11"/>
      <c r="K9" s="44"/>
      <c r="L9" s="11"/>
      <c r="M9" s="19"/>
      <c r="N9" s="11"/>
      <c r="O9" s="11"/>
      <c r="P9" s="5"/>
      <c r="Q9" s="5"/>
      <c r="R9" s="46"/>
      <c r="S9" s="101"/>
      <c r="T9" s="102"/>
      <c r="U9" s="7"/>
      <c r="V9" s="5"/>
      <c r="W9" s="16"/>
      <c r="X9" s="97"/>
      <c r="Y9" s="7"/>
      <c r="Z9" s="19"/>
    </row>
    <row r="10" spans="1:28" x14ac:dyDescent="0.2">
      <c r="A10" s="45"/>
      <c r="B10" s="45"/>
      <c r="C10" s="45"/>
      <c r="D10" s="7"/>
      <c r="E10" s="11"/>
      <c r="F10" s="19"/>
      <c r="G10" s="44"/>
      <c r="H10" s="11"/>
      <c r="I10" s="11"/>
      <c r="J10" s="11"/>
      <c r="K10" s="44"/>
      <c r="L10" s="11"/>
      <c r="M10" s="19"/>
      <c r="N10" s="11"/>
      <c r="O10" s="11"/>
      <c r="P10" s="5"/>
      <c r="Q10" s="5"/>
      <c r="R10" s="46"/>
      <c r="S10" s="101"/>
      <c r="T10" s="102"/>
      <c r="U10" s="7"/>
      <c r="V10" s="5"/>
      <c r="W10" s="16"/>
      <c r="X10" s="97"/>
      <c r="Y10" s="7"/>
      <c r="Z10" s="19"/>
    </row>
    <row r="11" spans="1:28" x14ac:dyDescent="0.2">
      <c r="A11" s="50"/>
      <c r="B11" s="50"/>
      <c r="C11" s="50"/>
      <c r="D11" s="60"/>
      <c r="E11" s="60"/>
      <c r="F11" s="60"/>
      <c r="G11" s="50"/>
      <c r="H11" s="68"/>
      <c r="I11" s="68"/>
      <c r="J11" s="60"/>
      <c r="K11" s="50"/>
      <c r="L11" s="60"/>
      <c r="M11" s="68"/>
      <c r="N11" s="68"/>
      <c r="O11" s="68"/>
      <c r="P11" s="60"/>
      <c r="Q11" s="60"/>
      <c r="R11" s="50"/>
      <c r="S11" s="103"/>
      <c r="T11" s="104"/>
      <c r="U11" s="60"/>
      <c r="V11" s="60"/>
      <c r="W11" s="110"/>
      <c r="X11" s="105"/>
      <c r="Y11" s="60"/>
      <c r="Z11" s="60"/>
      <c r="AA11" s="50"/>
    </row>
    <row r="12" spans="1:28" x14ac:dyDescent="0.2">
      <c r="A12" s="6" t="s">
        <v>65</v>
      </c>
      <c r="B12" s="2"/>
      <c r="C12" s="2"/>
      <c r="D12" s="3">
        <v>71213881.870000005</v>
      </c>
      <c r="E12" s="3"/>
      <c r="F12" s="3">
        <f>264758366-73090088</f>
        <v>191668278</v>
      </c>
      <c r="G12" s="3"/>
      <c r="H12" s="3">
        <v>140614780</v>
      </c>
      <c r="I12" s="3">
        <f>J12-H12</f>
        <v>79441218</v>
      </c>
      <c r="J12" s="3">
        <v>220055998</v>
      </c>
      <c r="K12" s="3"/>
      <c r="L12" s="120" t="s">
        <v>63</v>
      </c>
      <c r="M12" s="120" t="s">
        <v>63</v>
      </c>
      <c r="N12" s="3"/>
      <c r="O12" s="3">
        <f>J12</f>
        <v>220055998</v>
      </c>
      <c r="P12" s="3"/>
      <c r="Q12" s="3">
        <f>D12-F12+O12</f>
        <v>99601601.870000005</v>
      </c>
      <c r="R12" s="3"/>
      <c r="S12" s="129">
        <f>81233032*1.05</f>
        <v>85294683.600000009</v>
      </c>
      <c r="T12" s="228">
        <v>25519319</v>
      </c>
      <c r="U12" s="3"/>
      <c r="V12" s="3">
        <f>S12-T12</f>
        <v>59775364.600000009</v>
      </c>
      <c r="X12" s="138">
        <f>Q12-V12+W12</f>
        <v>39826237.269999996</v>
      </c>
      <c r="Z12" s="10">
        <v>0.05</v>
      </c>
    </row>
    <row r="13" spans="1:28" x14ac:dyDescent="0.2">
      <c r="A13" s="29"/>
      <c r="B13" s="6"/>
      <c r="C13" s="6"/>
      <c r="D13" s="6"/>
      <c r="E13" s="6"/>
      <c r="F13" s="6"/>
      <c r="G13" s="6"/>
      <c r="H13" s="66"/>
      <c r="I13" s="66"/>
      <c r="J13" s="6"/>
      <c r="K13" s="6"/>
      <c r="L13" s="6"/>
      <c r="M13" s="66"/>
      <c r="N13" s="66"/>
      <c r="O13" s="66"/>
      <c r="P13" s="6"/>
      <c r="Q13" s="6"/>
      <c r="R13" s="6"/>
      <c r="S13" s="129" t="s">
        <v>1</v>
      </c>
      <c r="T13" s="228" t="s">
        <v>1</v>
      </c>
      <c r="U13" s="6"/>
      <c r="V13" s="6"/>
      <c r="W13" s="78"/>
      <c r="X13" s="122"/>
      <c r="Y13" s="6"/>
      <c r="Z13" s="6"/>
      <c r="AA13" s="29"/>
    </row>
    <row r="14" spans="1:28" x14ac:dyDescent="0.2">
      <c r="A14" s="6" t="s">
        <v>112</v>
      </c>
      <c r="B14" s="6"/>
      <c r="C14" s="6"/>
      <c r="D14" s="3">
        <f>D12</f>
        <v>71213881.870000005</v>
      </c>
      <c r="F14" s="3">
        <f>F12*0.95</f>
        <v>182084864.09999999</v>
      </c>
      <c r="G14" s="2"/>
      <c r="H14" s="3">
        <v>140617780</v>
      </c>
      <c r="I14" s="3">
        <f>J14-H14</f>
        <v>79438218</v>
      </c>
      <c r="J14" s="3">
        <v>220055998</v>
      </c>
      <c r="K14" s="2"/>
      <c r="L14" s="3">
        <f>$H14*$L$4</f>
        <v>137805424.40000001</v>
      </c>
      <c r="M14" s="3">
        <f>$I14*$M$4</f>
        <v>75466307.099999994</v>
      </c>
      <c r="N14" s="3"/>
      <c r="O14" s="3">
        <f>M14+L14</f>
        <v>213271731.5</v>
      </c>
      <c r="P14" s="3"/>
      <c r="Q14" s="3">
        <f>D14-F14+O14</f>
        <v>102400749.27000001</v>
      </c>
      <c r="R14" s="3"/>
      <c r="S14" s="129">
        <f>81233032*1.05</f>
        <v>85294683.600000009</v>
      </c>
      <c r="T14" s="228">
        <v>25519319</v>
      </c>
      <c r="U14" s="3"/>
      <c r="V14" s="3">
        <f>S14-T14</f>
        <v>59775364.600000009</v>
      </c>
      <c r="X14" s="9">
        <f>Q14-V14+W14</f>
        <v>42625384.670000002</v>
      </c>
      <c r="Y14" s="3"/>
      <c r="Z14" s="10">
        <v>0.05</v>
      </c>
    </row>
    <row r="15" spans="1:28" x14ac:dyDescent="0.2">
      <c r="A15" s="29"/>
      <c r="B15" s="6"/>
      <c r="C15" s="6"/>
      <c r="D15" s="3"/>
      <c r="F15" s="3"/>
      <c r="G15" s="2"/>
      <c r="H15" s="3"/>
      <c r="I15" s="3"/>
      <c r="J15" s="3"/>
      <c r="K15" s="2"/>
      <c r="L15" s="3"/>
      <c r="M15" s="3"/>
      <c r="N15" s="3"/>
      <c r="O15" s="3"/>
      <c r="P15" s="3"/>
      <c r="Q15" s="3"/>
      <c r="R15" s="3"/>
      <c r="S15" s="129" t="s">
        <v>1</v>
      </c>
      <c r="T15" s="228" t="s">
        <v>1</v>
      </c>
      <c r="U15" s="3"/>
      <c r="V15" s="3"/>
      <c r="X15" s="9"/>
      <c r="Y15" s="3"/>
      <c r="Z15" s="10"/>
    </row>
    <row r="16" spans="1:28" s="2" customFormat="1" x14ac:dyDescent="0.2">
      <c r="A16" s="6" t="s">
        <v>129</v>
      </c>
      <c r="B16" s="6"/>
      <c r="C16" s="6"/>
      <c r="D16" s="3">
        <v>143853905.69999999</v>
      </c>
      <c r="F16" s="3">
        <f>(264758366-91083438.03)*0.95</f>
        <v>164991181.5715</v>
      </c>
      <c r="H16" s="3">
        <v>55535932</v>
      </c>
      <c r="I16" s="3">
        <f>J16-H16</f>
        <v>73886185</v>
      </c>
      <c r="J16" s="3">
        <v>129422117</v>
      </c>
      <c r="L16" s="3">
        <f>$H16*$L$4</f>
        <v>54425213.359999999</v>
      </c>
      <c r="M16" s="3">
        <f>$I16*$M$4</f>
        <v>70191875.75</v>
      </c>
      <c r="N16" s="3"/>
      <c r="O16" s="3">
        <f>M16+L16</f>
        <v>124617089.11</v>
      </c>
      <c r="P16" s="3"/>
      <c r="Q16" s="3">
        <f>D16-F16+O16</f>
        <v>103479813.23849998</v>
      </c>
      <c r="R16" s="3"/>
      <c r="S16" s="129">
        <f>81233032*1.05</f>
        <v>85294683.600000009</v>
      </c>
      <c r="T16" s="228">
        <v>25519319</v>
      </c>
      <c r="U16" s="9">
        <v>10728605</v>
      </c>
      <c r="V16" s="3">
        <f>S16-T16</f>
        <v>59775364.600000009</v>
      </c>
      <c r="W16" s="1"/>
      <c r="X16" s="9">
        <f>Q16-V16+W16</f>
        <v>43704448.638499975</v>
      </c>
      <c r="Y16" s="3"/>
      <c r="Z16" s="10">
        <v>0.05</v>
      </c>
    </row>
    <row r="17" spans="1:27" x14ac:dyDescent="0.2">
      <c r="A17" s="29"/>
      <c r="B17" s="6"/>
      <c r="C17" s="6"/>
      <c r="D17" s="3"/>
      <c r="F17" s="3"/>
      <c r="G17" s="2"/>
      <c r="H17" s="3" t="s">
        <v>1</v>
      </c>
      <c r="I17" s="3"/>
      <c r="J17" s="3"/>
      <c r="K17" s="2"/>
      <c r="L17" s="3"/>
      <c r="M17" s="3"/>
      <c r="N17" s="3"/>
      <c r="O17" s="3"/>
      <c r="P17" s="3"/>
      <c r="Q17" s="3"/>
      <c r="R17" s="3"/>
      <c r="S17" s="129" t="s">
        <v>1</v>
      </c>
      <c r="T17" s="228" t="s">
        <v>1</v>
      </c>
      <c r="U17" s="3"/>
      <c r="V17" s="3"/>
      <c r="X17" s="9"/>
      <c r="Y17" s="3"/>
      <c r="Z17" s="10"/>
    </row>
    <row r="18" spans="1:27" s="2" customFormat="1" x14ac:dyDescent="0.2">
      <c r="A18" s="6" t="s">
        <v>130</v>
      </c>
      <c r="B18" s="28"/>
      <c r="C18" s="28"/>
      <c r="D18" s="3">
        <v>141870238</v>
      </c>
      <c r="E18" s="3"/>
      <c r="F18" s="3">
        <f>(264760866-109536348)*0.95</f>
        <v>147463292.09999999</v>
      </c>
      <c r="G18" s="3"/>
      <c r="H18" s="3">
        <v>53910234</v>
      </c>
      <c r="I18" s="3">
        <f>J18-H18</f>
        <v>59046440</v>
      </c>
      <c r="J18" s="3">
        <v>112956674</v>
      </c>
      <c r="K18" s="3"/>
      <c r="L18" s="3">
        <f>H18*L4</f>
        <v>52832029.32</v>
      </c>
      <c r="M18" s="3">
        <f>I18*M4</f>
        <v>56094118</v>
      </c>
      <c r="N18" s="3"/>
      <c r="O18" s="3">
        <f>SUM(L18:M18)</f>
        <v>108926147.31999999</v>
      </c>
      <c r="P18" s="3"/>
      <c r="Q18" s="3">
        <f>D18-F18+O18</f>
        <v>103333093.22</v>
      </c>
      <c r="R18" s="3"/>
      <c r="S18" s="129">
        <f>81233032*1.05</f>
        <v>85294683.600000009</v>
      </c>
      <c r="T18" s="228">
        <v>25519319</v>
      </c>
      <c r="U18" s="3"/>
      <c r="V18" s="3">
        <f>S18-T18</f>
        <v>59775364.600000009</v>
      </c>
      <c r="W18" s="1"/>
      <c r="X18" s="9">
        <f>Q18-V18+W18</f>
        <v>43557728.61999999</v>
      </c>
      <c r="Z18" s="10">
        <v>0.05</v>
      </c>
    </row>
    <row r="19" spans="1:27" x14ac:dyDescent="0.2">
      <c r="A19" s="29" t="s">
        <v>93</v>
      </c>
      <c r="B19" s="32" t="s">
        <v>1</v>
      </c>
      <c r="D19" s="3"/>
      <c r="E19" s="3"/>
      <c r="F19" s="3"/>
      <c r="G19" s="3"/>
      <c r="H19" s="3"/>
      <c r="I19" s="3"/>
      <c r="J19" s="3"/>
      <c r="K19" s="3"/>
      <c r="L19" s="3"/>
      <c r="M19" s="3"/>
      <c r="N19" s="3"/>
      <c r="O19" s="3"/>
      <c r="P19" s="3"/>
      <c r="Q19" s="3"/>
      <c r="R19" s="3"/>
      <c r="S19" s="129" t="s">
        <v>1</v>
      </c>
      <c r="T19" s="228" t="s">
        <v>1</v>
      </c>
      <c r="U19" s="3"/>
      <c r="V19" s="3"/>
      <c r="X19" s="9"/>
    </row>
    <row r="20" spans="1:27" s="2" customFormat="1" x14ac:dyDescent="0.2">
      <c r="A20" s="6" t="s">
        <v>131</v>
      </c>
      <c r="C20" s="28"/>
      <c r="D20" s="3">
        <v>131038447.98999999</v>
      </c>
      <c r="E20" s="30"/>
      <c r="F20" s="3">
        <f>(264974861-126948297.65)*0.95</f>
        <v>131125235.18249999</v>
      </c>
      <c r="G20" s="30"/>
      <c r="H20" s="3">
        <v>53051816</v>
      </c>
      <c r="I20" s="3">
        <f>J20-H20</f>
        <v>53538694</v>
      </c>
      <c r="J20" s="3">
        <v>106590510</v>
      </c>
      <c r="K20" s="3"/>
      <c r="L20" s="3">
        <f>H20*L4</f>
        <v>51990779.68</v>
      </c>
      <c r="M20" s="3">
        <f>I20*M4</f>
        <v>50861759.299999997</v>
      </c>
      <c r="N20" s="3"/>
      <c r="O20" s="3">
        <f>SUM(L20:N20)</f>
        <v>102852538.97999999</v>
      </c>
      <c r="P20" s="3"/>
      <c r="Q20" s="3">
        <f t="shared" ref="Q20" si="0">D20-F20+O20</f>
        <v>102765751.78749999</v>
      </c>
      <c r="R20" s="30"/>
      <c r="S20" s="129">
        <f>81233032*1.05</f>
        <v>85294683.600000009</v>
      </c>
      <c r="T20" s="228">
        <v>25519319</v>
      </c>
      <c r="U20" s="3"/>
      <c r="V20" s="3">
        <f>S20-T20</f>
        <v>59775364.600000009</v>
      </c>
      <c r="W20" s="1"/>
      <c r="X20" s="9">
        <f>Q20-V20-W20</f>
        <v>42990387.187499985</v>
      </c>
      <c r="Z20" s="10">
        <v>0.05</v>
      </c>
    </row>
    <row r="21" spans="1:27" x14ac:dyDescent="0.2">
      <c r="A21" s="29"/>
      <c r="D21" s="30"/>
      <c r="E21" s="30"/>
      <c r="F21" s="30"/>
      <c r="G21" s="30"/>
      <c r="H21" s="30"/>
      <c r="I21" s="30"/>
      <c r="J21" s="30"/>
      <c r="K21" s="30"/>
      <c r="L21" s="30"/>
      <c r="M21" s="30"/>
      <c r="N21" s="30"/>
      <c r="O21" s="30"/>
      <c r="P21" s="30"/>
      <c r="Q21" s="30"/>
      <c r="R21" s="30"/>
      <c r="S21" s="129" t="s">
        <v>1</v>
      </c>
      <c r="T21" s="228" t="s">
        <v>1</v>
      </c>
      <c r="U21" s="3"/>
      <c r="V21" s="3"/>
      <c r="X21" s="9"/>
    </row>
    <row r="22" spans="1:27" s="2" customFormat="1" x14ac:dyDescent="0.2">
      <c r="A22" s="6" t="s">
        <v>146</v>
      </c>
      <c r="B22" s="28"/>
      <c r="C22" s="28"/>
      <c r="D22" s="3">
        <v>121019802.84</v>
      </c>
      <c r="E22" s="3"/>
      <c r="F22" s="3">
        <f>(264974861-153093193)*0.95</f>
        <v>106287584.59999999</v>
      </c>
      <c r="G22" s="3"/>
      <c r="H22" s="3">
        <v>52353532</v>
      </c>
      <c r="I22" s="3">
        <f>J22-H22</f>
        <v>37806283</v>
      </c>
      <c r="J22" s="3">
        <v>90159815</v>
      </c>
      <c r="K22" s="3"/>
      <c r="L22" s="3">
        <f>H22*L4</f>
        <v>51306461.359999999</v>
      </c>
      <c r="M22" s="3">
        <f>I22*M4</f>
        <v>35915968.850000001</v>
      </c>
      <c r="N22" s="3"/>
      <c r="O22" s="3">
        <f>SUM(L22:N22)</f>
        <v>87222430.210000008</v>
      </c>
      <c r="P22" s="3"/>
      <c r="Q22" s="3">
        <f>D22-F22+O22</f>
        <v>101954648.45000002</v>
      </c>
      <c r="R22" s="3"/>
      <c r="S22" s="129">
        <f>81233032*1.05</f>
        <v>85294683.600000009</v>
      </c>
      <c r="T22" s="228">
        <v>25519319</v>
      </c>
      <c r="U22" s="3"/>
      <c r="V22" s="3">
        <f>S22-T22</f>
        <v>59775364.600000009</v>
      </c>
      <c r="W22" s="1"/>
      <c r="X22" s="9">
        <f>Q22-V22</f>
        <v>42179283.850000009</v>
      </c>
      <c r="Z22" s="10">
        <v>0.05</v>
      </c>
    </row>
    <row r="23" spans="1:27" x14ac:dyDescent="0.2">
      <c r="A23" s="29"/>
      <c r="D23" s="3"/>
      <c r="E23" s="3"/>
      <c r="F23" s="3"/>
      <c r="G23" s="3"/>
      <c r="H23" s="3"/>
      <c r="I23" s="3"/>
      <c r="J23" s="3"/>
      <c r="K23" s="3"/>
      <c r="L23" s="3"/>
      <c r="M23" s="3"/>
      <c r="N23" s="3"/>
      <c r="O23" s="3"/>
      <c r="P23" s="3"/>
      <c r="Q23" s="3"/>
      <c r="R23" s="3"/>
      <c r="S23" s="129" t="s">
        <v>1</v>
      </c>
      <c r="T23" s="228" t="s">
        <v>1</v>
      </c>
      <c r="U23" s="3"/>
      <c r="V23" s="3"/>
      <c r="X23" s="9"/>
    </row>
    <row r="24" spans="1:27" s="2" customFormat="1" ht="13.5" customHeight="1" x14ac:dyDescent="0.2">
      <c r="A24" s="6" t="s">
        <v>132</v>
      </c>
      <c r="D24" s="3">
        <v>109493327</v>
      </c>
      <c r="E24" s="3"/>
      <c r="F24" s="3">
        <f>(264974861-170787616)*0.95</f>
        <v>89477882.75</v>
      </c>
      <c r="G24" s="3"/>
      <c r="H24" s="3">
        <v>51673137</v>
      </c>
      <c r="I24" s="3">
        <f>J24-H24</f>
        <v>32624258</v>
      </c>
      <c r="J24" s="3">
        <v>84297395</v>
      </c>
      <c r="K24" s="3"/>
      <c r="L24" s="3">
        <f>H24*L4</f>
        <v>50639674.259999998</v>
      </c>
      <c r="M24" s="3">
        <f>I24*M4</f>
        <v>30993045.099999998</v>
      </c>
      <c r="N24" s="3"/>
      <c r="O24" s="3">
        <f>SUM(L24:N24)</f>
        <v>81632719.359999999</v>
      </c>
      <c r="P24" s="3"/>
      <c r="Q24" s="3">
        <f>D24-F24+O24</f>
        <v>101648163.61</v>
      </c>
      <c r="R24" s="3"/>
      <c r="S24" s="129">
        <f>81233032*1.05</f>
        <v>85294683.600000009</v>
      </c>
      <c r="T24" s="228">
        <v>25519319</v>
      </c>
      <c r="U24" s="3"/>
      <c r="V24" s="3">
        <f>S24-T24</f>
        <v>59775364.600000009</v>
      </c>
      <c r="W24" s="1"/>
      <c r="X24" s="9">
        <f>Q24-V24</f>
        <v>41872799.00999999</v>
      </c>
      <c r="Z24" s="10">
        <v>0.05</v>
      </c>
    </row>
    <row r="25" spans="1:27" x14ac:dyDescent="0.2">
      <c r="A25" s="29"/>
      <c r="D25" s="30"/>
      <c r="E25" s="30"/>
      <c r="F25" s="30"/>
      <c r="G25" s="30"/>
      <c r="H25" s="30"/>
      <c r="I25" s="30"/>
      <c r="J25" s="30"/>
      <c r="K25" s="30"/>
      <c r="L25" s="30"/>
      <c r="M25" s="30"/>
      <c r="N25" s="30"/>
      <c r="O25" s="30"/>
      <c r="P25" s="30"/>
      <c r="Q25" s="30"/>
      <c r="R25" s="30"/>
      <c r="S25" s="129"/>
      <c r="T25" s="228" t="s">
        <v>1</v>
      </c>
      <c r="U25" s="3"/>
      <c r="V25" s="3"/>
      <c r="X25" s="9"/>
    </row>
    <row r="26" spans="1:27" s="2" customFormat="1" x14ac:dyDescent="0.2">
      <c r="A26" s="6" t="s">
        <v>133</v>
      </c>
      <c r="D26" s="3">
        <v>99715523.780000001</v>
      </c>
      <c r="E26" s="30"/>
      <c r="F26" s="3">
        <f>(265139226-188874528)*0.95</f>
        <v>72451463.099999994</v>
      </c>
      <c r="G26" s="30"/>
      <c r="H26" s="3">
        <v>50047041</v>
      </c>
      <c r="I26" s="3">
        <f>J26-H26</f>
        <v>26105371</v>
      </c>
      <c r="J26" s="3">
        <v>76152412</v>
      </c>
      <c r="K26" s="3"/>
      <c r="L26" s="3">
        <f>H26*L4</f>
        <v>49046100.18</v>
      </c>
      <c r="M26" s="3">
        <f>I26*M4</f>
        <v>24800102.449999999</v>
      </c>
      <c r="N26" s="3"/>
      <c r="O26" s="3">
        <f>SUM(L26:N26)</f>
        <v>73846202.629999995</v>
      </c>
      <c r="P26" s="3"/>
      <c r="Q26" s="3">
        <f>D26-F26+O26</f>
        <v>101110263.31</v>
      </c>
      <c r="R26" s="30"/>
      <c r="S26" s="129">
        <f>81233032*1.05</f>
        <v>85294683.600000009</v>
      </c>
      <c r="T26" s="228">
        <v>25519319</v>
      </c>
      <c r="U26" s="3"/>
      <c r="V26" s="3">
        <f>S26-T26</f>
        <v>59775364.600000009</v>
      </c>
      <c r="W26" s="1"/>
      <c r="X26" s="9">
        <f>Q26-V26</f>
        <v>41334898.709999993</v>
      </c>
      <c r="Z26" s="10">
        <v>0.05</v>
      </c>
    </row>
    <row r="27" spans="1:27" x14ac:dyDescent="0.2">
      <c r="A27" s="33"/>
      <c r="B27" s="33"/>
      <c r="C27" s="33"/>
      <c r="D27" s="34"/>
      <c r="E27" s="34"/>
      <c r="F27" s="34"/>
      <c r="G27" s="34"/>
      <c r="H27" s="34"/>
      <c r="I27" s="117"/>
      <c r="J27" s="117"/>
      <c r="K27" s="34"/>
      <c r="L27" s="117"/>
      <c r="M27" s="117"/>
      <c r="N27" s="34"/>
      <c r="O27" s="34"/>
      <c r="P27" s="34"/>
      <c r="Q27" s="117"/>
      <c r="R27" s="34"/>
      <c r="S27" s="118"/>
      <c r="T27" s="228"/>
      <c r="U27" s="34"/>
      <c r="V27" s="123"/>
      <c r="W27" s="124"/>
      <c r="X27" s="82"/>
      <c r="Y27" s="125"/>
      <c r="Z27" s="126"/>
      <c r="AA27" s="35"/>
    </row>
    <row r="28" spans="1:27" x14ac:dyDescent="0.2">
      <c r="A28" s="43"/>
      <c r="D28" s="30"/>
      <c r="E28" s="30"/>
      <c r="F28" s="30"/>
      <c r="G28" s="30"/>
      <c r="H28" s="30"/>
      <c r="I28" s="30"/>
      <c r="J28" s="30"/>
      <c r="K28" s="30"/>
      <c r="L28" s="30"/>
      <c r="M28" s="30"/>
      <c r="N28" s="30"/>
      <c r="O28" s="30"/>
      <c r="P28" s="30"/>
      <c r="Q28" s="30"/>
      <c r="R28" s="30"/>
      <c r="S28" s="108"/>
      <c r="T28" s="109"/>
      <c r="U28" s="30"/>
      <c r="V28" s="3"/>
      <c r="X28" s="9"/>
      <c r="Z28" s="10"/>
    </row>
    <row r="29" spans="1:27" x14ac:dyDescent="0.2">
      <c r="A29" s="6" t="s">
        <v>118</v>
      </c>
      <c r="B29" s="6"/>
      <c r="C29" s="29"/>
      <c r="D29" s="3">
        <v>4722167.53</v>
      </c>
      <c r="E29" s="28"/>
      <c r="F29" s="3">
        <f>(13570657-2278514)*F6</f>
        <v>10162928.700000001</v>
      </c>
      <c r="G29" s="2"/>
      <c r="H29" s="3">
        <v>0</v>
      </c>
      <c r="I29" s="3">
        <f>J29-H29</f>
        <v>10890283</v>
      </c>
      <c r="J29" s="3">
        <v>10890283</v>
      </c>
      <c r="K29" s="2"/>
      <c r="L29" s="3">
        <f>$H29*$L$4</f>
        <v>0</v>
      </c>
      <c r="M29" s="3">
        <f>$I29*$M$4</f>
        <v>10345768.85</v>
      </c>
      <c r="N29" s="3"/>
      <c r="O29" s="3">
        <f>M29+L29</f>
        <v>10345768.85</v>
      </c>
      <c r="P29" s="3"/>
      <c r="Q29" s="3">
        <f>D29-F29+O29</f>
        <v>4905007.6799999988</v>
      </c>
      <c r="R29" s="30"/>
      <c r="S29" s="129">
        <f>2381321*1.05</f>
        <v>2500387.0500000003</v>
      </c>
      <c r="T29" s="228">
        <v>519753</v>
      </c>
      <c r="U29" s="30"/>
      <c r="V29" s="3">
        <f>S29-T29</f>
        <v>1980634.0500000003</v>
      </c>
      <c r="W29" s="77"/>
      <c r="X29" s="9">
        <f>Q29-V29+W29</f>
        <v>2924373.6299999985</v>
      </c>
      <c r="Y29" s="3"/>
      <c r="Z29" s="10">
        <v>0.05</v>
      </c>
    </row>
    <row r="30" spans="1:27" x14ac:dyDescent="0.2">
      <c r="A30" s="6"/>
      <c r="B30" s="6"/>
      <c r="C30" s="29"/>
      <c r="E30" s="28"/>
      <c r="G30" s="2"/>
      <c r="H30" s="3"/>
      <c r="I30" s="3"/>
      <c r="K30" s="2"/>
      <c r="M30" s="3"/>
      <c r="N30" s="3"/>
      <c r="O30" s="3" t="s">
        <v>1</v>
      </c>
      <c r="Q30" s="3" t="s">
        <v>1</v>
      </c>
      <c r="T30" s="229"/>
      <c r="U30" s="119"/>
      <c r="V30" s="3" t="s">
        <v>1</v>
      </c>
      <c r="X30" s="9" t="s">
        <v>1</v>
      </c>
      <c r="Z30" s="10"/>
    </row>
    <row r="31" spans="1:27" x14ac:dyDescent="0.2">
      <c r="A31" s="6" t="s">
        <v>95</v>
      </c>
      <c r="B31" s="2"/>
      <c r="C31" s="29"/>
      <c r="D31" s="3">
        <v>285186.76</v>
      </c>
      <c r="F31" s="3">
        <v>0</v>
      </c>
      <c r="G31" s="2"/>
      <c r="H31" s="3">
        <v>5063053</v>
      </c>
      <c r="I31" s="3">
        <v>0</v>
      </c>
      <c r="J31" s="3">
        <v>5063053</v>
      </c>
      <c r="K31" s="2"/>
      <c r="L31" s="3">
        <f>$H31*$L$4</f>
        <v>4961791.9399999995</v>
      </c>
      <c r="M31" s="3">
        <f>$I31*$M$4</f>
        <v>0</v>
      </c>
      <c r="N31" s="3"/>
      <c r="O31" s="3">
        <f>M31+L31</f>
        <v>4961791.9399999995</v>
      </c>
      <c r="P31" s="3"/>
      <c r="Q31" s="3">
        <f>D31-F31+O31</f>
        <v>5246978.6999999993</v>
      </c>
      <c r="R31" s="3"/>
      <c r="S31" s="129">
        <v>0</v>
      </c>
      <c r="T31" s="228">
        <v>8488.1200000000008</v>
      </c>
      <c r="U31" s="3"/>
      <c r="V31" s="3">
        <v>0</v>
      </c>
      <c r="W31" s="77"/>
      <c r="X31" s="9">
        <f>Q31-V31+W31</f>
        <v>5246978.6999999993</v>
      </c>
      <c r="Y31" s="3"/>
      <c r="Z31" s="10"/>
    </row>
    <row r="32" spans="1:27" s="37" customFormat="1" x14ac:dyDescent="0.2">
      <c r="A32" s="70"/>
      <c r="B32" s="70"/>
      <c r="C32" s="32"/>
      <c r="D32" s="61"/>
      <c r="F32" s="63"/>
      <c r="H32" s="63"/>
      <c r="I32" s="63"/>
      <c r="J32" s="63"/>
      <c r="K32" s="62"/>
      <c r="L32" s="63"/>
      <c r="M32" s="63"/>
      <c r="N32" s="63"/>
      <c r="O32" s="63"/>
      <c r="P32" s="63"/>
      <c r="Q32" s="63"/>
      <c r="R32" s="38"/>
      <c r="S32" s="242"/>
      <c r="T32" s="230"/>
      <c r="U32" s="38"/>
      <c r="V32" s="63"/>
      <c r="W32" s="74"/>
      <c r="X32" s="61"/>
      <c r="Y32" s="63"/>
      <c r="Z32" s="127"/>
    </row>
    <row r="33" spans="1:26" x14ac:dyDescent="0.2">
      <c r="A33" s="6" t="s">
        <v>33</v>
      </c>
      <c r="B33" s="6"/>
      <c r="C33" s="29"/>
      <c r="D33" s="3">
        <v>1717873.58</v>
      </c>
      <c r="E33" s="28"/>
      <c r="F33" s="3">
        <f>(2108941-381676)*F6</f>
        <v>1554538.5</v>
      </c>
      <c r="H33" s="3">
        <v>1213509</v>
      </c>
      <c r="I33" s="3">
        <f>J33-H33</f>
        <v>284069</v>
      </c>
      <c r="J33" s="3">
        <v>1497578</v>
      </c>
      <c r="K33" s="2"/>
      <c r="L33" s="3">
        <f>$H33*$L$4</f>
        <v>1189238.82</v>
      </c>
      <c r="M33" s="3">
        <f>$I33*$M$4</f>
        <v>269865.55</v>
      </c>
      <c r="N33" s="3"/>
      <c r="O33" s="3">
        <f>M33+L33</f>
        <v>1459104.37</v>
      </c>
      <c r="P33" s="3"/>
      <c r="Q33" s="3">
        <f>D33-F33+O33</f>
        <v>1622439.4500000002</v>
      </c>
      <c r="R33" s="30"/>
      <c r="S33" s="129">
        <f>463616*1.06</f>
        <v>491432.96000000002</v>
      </c>
      <c r="T33" s="228">
        <v>159362</v>
      </c>
      <c r="U33" s="30"/>
      <c r="V33" s="3">
        <f>S33-T33</f>
        <v>332070.96000000002</v>
      </c>
      <c r="X33" s="9">
        <f>Q33-V33+W33</f>
        <v>1290368.4900000002</v>
      </c>
      <c r="Y33" s="3"/>
      <c r="Z33" s="10">
        <v>0.06</v>
      </c>
    </row>
    <row r="34" spans="1:26" s="32" customFormat="1" ht="10.5" x14ac:dyDescent="0.15">
      <c r="A34" s="65"/>
      <c r="B34" s="70"/>
      <c r="D34" s="64"/>
      <c r="F34" s="64"/>
      <c r="H34" s="64"/>
      <c r="I34" s="64"/>
      <c r="J34" s="64"/>
      <c r="K34" s="65"/>
      <c r="L34" s="65"/>
      <c r="M34" s="64"/>
      <c r="N34" s="64"/>
      <c r="O34" s="64"/>
      <c r="P34" s="64"/>
      <c r="Q34" s="64"/>
      <c r="R34" s="39"/>
      <c r="S34" s="243"/>
      <c r="T34" s="244"/>
      <c r="U34" s="39"/>
      <c r="V34" s="64"/>
      <c r="W34" s="75"/>
      <c r="X34" s="76"/>
      <c r="Y34" s="64"/>
      <c r="Z34" s="128"/>
    </row>
    <row r="35" spans="1:26" x14ac:dyDescent="0.2">
      <c r="A35" s="6" t="s">
        <v>34</v>
      </c>
      <c r="B35" s="6"/>
      <c r="C35" s="29"/>
      <c r="D35" s="3">
        <v>2299458.66</v>
      </c>
      <c r="E35" s="28"/>
      <c r="F35" s="3">
        <f>(3107690-471044)*F6</f>
        <v>2372981.4</v>
      </c>
      <c r="H35" s="3">
        <v>1102927</v>
      </c>
      <c r="I35" s="3">
        <f>J35-H35</f>
        <v>837600</v>
      </c>
      <c r="J35" s="3">
        <v>1940527</v>
      </c>
      <c r="K35" s="2"/>
      <c r="L35" s="3">
        <f>$H35*$L$4</f>
        <v>1080868.46</v>
      </c>
      <c r="M35" s="3">
        <f>$I35*$M$4</f>
        <v>795720</v>
      </c>
      <c r="N35" s="3"/>
      <c r="O35" s="3">
        <f>M35+L35</f>
        <v>1876588.46</v>
      </c>
      <c r="P35" s="3"/>
      <c r="Q35" s="3">
        <f>D35-F35+O35</f>
        <v>1803065.7200000002</v>
      </c>
      <c r="R35" s="30"/>
      <c r="S35" s="129">
        <f>514983*1.06</f>
        <v>545881.98</v>
      </c>
      <c r="T35" s="228">
        <v>62567</v>
      </c>
      <c r="U35" s="30"/>
      <c r="V35" s="3">
        <f>S35-T35</f>
        <v>483314.98</v>
      </c>
      <c r="X35" s="9">
        <f>Q35-V35+W35</f>
        <v>1319750.7400000002</v>
      </c>
      <c r="Y35" s="3"/>
      <c r="Z35" s="10">
        <v>0.06</v>
      </c>
    </row>
    <row r="36" spans="1:26" s="37" customFormat="1" x14ac:dyDescent="0.2">
      <c r="A36" s="62"/>
      <c r="B36" s="71"/>
      <c r="C36" s="32"/>
      <c r="D36" s="63"/>
      <c r="F36" s="63"/>
      <c r="H36" s="63"/>
      <c r="I36" s="63"/>
      <c r="J36" s="63"/>
      <c r="K36" s="62"/>
      <c r="L36" s="63"/>
      <c r="M36" s="63"/>
      <c r="N36" s="63"/>
      <c r="O36" s="63"/>
      <c r="P36" s="63"/>
      <c r="Q36" s="63"/>
      <c r="R36" s="38"/>
      <c r="S36" s="242"/>
      <c r="T36" s="230"/>
      <c r="U36" s="38"/>
      <c r="V36" s="63"/>
      <c r="W36" s="74"/>
      <c r="X36" s="61"/>
      <c r="Y36" s="63"/>
      <c r="Z36" s="127"/>
    </row>
    <row r="37" spans="1:26" x14ac:dyDescent="0.2">
      <c r="A37" s="6" t="s">
        <v>35</v>
      </c>
      <c r="B37" s="6"/>
      <c r="C37" s="29"/>
      <c r="D37" s="3">
        <v>1205383.17</v>
      </c>
      <c r="E37" s="28"/>
      <c r="F37" s="3">
        <f>(6395220-1501978)*F6</f>
        <v>4403917.8</v>
      </c>
      <c r="H37" s="3">
        <v>6236663</v>
      </c>
      <c r="I37" s="3">
        <f>J37-H37</f>
        <v>114138</v>
      </c>
      <c r="J37" s="3">
        <v>6350801</v>
      </c>
      <c r="K37" s="2"/>
      <c r="L37" s="3">
        <f>$H37*$L$4</f>
        <v>6111929.7400000002</v>
      </c>
      <c r="M37" s="3">
        <f>$I37*$M$4</f>
        <v>108431.09999999999</v>
      </c>
      <c r="N37" s="3"/>
      <c r="O37" s="3">
        <f>M37+L37</f>
        <v>6220360.8399999999</v>
      </c>
      <c r="P37" s="3"/>
      <c r="Q37" s="3">
        <f>D37-F37+O37</f>
        <v>3021826.21</v>
      </c>
      <c r="R37" s="30"/>
      <c r="S37" s="129">
        <f>1706938*1.06</f>
        <v>1809354.28</v>
      </c>
      <c r="T37" s="228">
        <v>47696</v>
      </c>
      <c r="U37" s="30"/>
      <c r="V37" s="3">
        <f>S37-T37</f>
        <v>1761658.28</v>
      </c>
      <c r="X37" s="9">
        <f>Q37-V37+W37</f>
        <v>1260167.93</v>
      </c>
      <c r="Y37" s="3"/>
      <c r="Z37" s="10">
        <v>0.06</v>
      </c>
    </row>
    <row r="38" spans="1:26" ht="13.5" thickBot="1" x14ac:dyDescent="0.25">
      <c r="A38" s="6"/>
      <c r="B38" s="6"/>
      <c r="C38" s="29"/>
      <c r="D38" s="3"/>
      <c r="E38" s="28"/>
      <c r="F38" s="3"/>
      <c r="H38" s="3"/>
      <c r="I38" s="3"/>
      <c r="J38" s="3"/>
      <c r="K38" s="2"/>
      <c r="M38" s="3"/>
      <c r="N38" s="3"/>
      <c r="O38" s="3" t="s">
        <v>1</v>
      </c>
      <c r="P38" s="3"/>
      <c r="Q38" s="3" t="s">
        <v>1</v>
      </c>
      <c r="R38" s="30"/>
      <c r="S38" s="129"/>
      <c r="T38" s="109"/>
      <c r="U38" s="30"/>
      <c r="V38" s="3" t="s">
        <v>1</v>
      </c>
      <c r="X38" s="9"/>
      <c r="Y38" s="3"/>
      <c r="Z38" s="10"/>
    </row>
    <row r="39" spans="1:26" x14ac:dyDescent="0.2">
      <c r="A39" s="6" t="s">
        <v>96</v>
      </c>
      <c r="B39" s="6"/>
      <c r="C39" s="29"/>
      <c r="D39" s="3">
        <v>120480.64</v>
      </c>
      <c r="E39" s="28"/>
      <c r="F39" s="3">
        <f>(30000-620)*F5</f>
        <v>29380</v>
      </c>
      <c r="H39" s="3">
        <v>0</v>
      </c>
      <c r="I39" s="3">
        <f>J39-H39</f>
        <v>23304</v>
      </c>
      <c r="J39" s="3">
        <v>23304</v>
      </c>
      <c r="K39" s="2"/>
      <c r="L39" s="3">
        <f>$H39*$L$4</f>
        <v>0</v>
      </c>
      <c r="M39" s="3">
        <f>$I39*$M$4</f>
        <v>22138.799999999999</v>
      </c>
      <c r="N39" s="3"/>
      <c r="O39" s="3">
        <f>M39+L39</f>
        <v>22138.799999999999</v>
      </c>
      <c r="P39" s="3"/>
      <c r="Q39" s="3">
        <f>D39-F39+O39</f>
        <v>113239.44</v>
      </c>
      <c r="R39" s="30"/>
      <c r="S39" s="245">
        <f>620*1.05</f>
        <v>651</v>
      </c>
      <c r="T39" s="231">
        <v>8654</v>
      </c>
      <c r="U39" s="223"/>
      <c r="V39" s="131">
        <f>S39-T39+V40</f>
        <v>0</v>
      </c>
      <c r="X39" s="9">
        <f t="shared" ref="X39:X61" si="1">Q39-V39+W39</f>
        <v>113239.44</v>
      </c>
      <c r="Y39" s="3"/>
      <c r="Z39" s="10">
        <v>0.05</v>
      </c>
    </row>
    <row r="40" spans="1:26" ht="13.5" thickBot="1" x14ac:dyDescent="0.25">
      <c r="A40" s="6"/>
      <c r="B40" s="6"/>
      <c r="C40" s="29"/>
      <c r="D40" s="3"/>
      <c r="E40" s="28"/>
      <c r="F40" s="3"/>
      <c r="H40" s="3"/>
      <c r="I40" s="3"/>
      <c r="J40" s="3"/>
      <c r="K40" s="2"/>
      <c r="M40" s="3"/>
      <c r="N40" s="3"/>
      <c r="O40" s="3" t="s">
        <v>1</v>
      </c>
      <c r="P40" s="3"/>
      <c r="Q40" s="3" t="s">
        <v>1</v>
      </c>
      <c r="R40" s="30"/>
      <c r="S40" s="238"/>
      <c r="T40" s="232"/>
      <c r="U40" s="224"/>
      <c r="V40" s="132">
        <v>8003</v>
      </c>
      <c r="X40" s="9"/>
      <c r="Y40" s="3"/>
      <c r="Z40" s="10"/>
    </row>
    <row r="41" spans="1:26" x14ac:dyDescent="0.2">
      <c r="A41" s="6" t="s">
        <v>37</v>
      </c>
      <c r="B41" s="6"/>
      <c r="C41" s="29"/>
      <c r="D41" s="3">
        <v>2291495.2599999998</v>
      </c>
      <c r="E41" s="28"/>
      <c r="F41" s="3">
        <f>(1415731-118968)*F6</f>
        <v>1167086.7</v>
      </c>
      <c r="H41" s="3">
        <v>851176</v>
      </c>
      <c r="I41" s="3">
        <f>J41-H41</f>
        <v>73826</v>
      </c>
      <c r="J41" s="3">
        <v>925002</v>
      </c>
      <c r="K41" s="2"/>
      <c r="L41" s="3">
        <f>$H41*$L$4</f>
        <v>834152.48</v>
      </c>
      <c r="M41" s="3">
        <f>$I41*$M$4</f>
        <v>70134.7</v>
      </c>
      <c r="N41" s="3"/>
      <c r="O41" s="3">
        <f>M41+L41</f>
        <v>904287.17999999993</v>
      </c>
      <c r="P41" s="3"/>
      <c r="Q41" s="3">
        <f>D41-F41+O41</f>
        <v>2028695.7399999998</v>
      </c>
      <c r="R41" s="30"/>
      <c r="S41" s="129">
        <f>137502*1.05</f>
        <v>144377.1</v>
      </c>
      <c r="T41" s="228">
        <v>36370</v>
      </c>
      <c r="U41" s="30"/>
      <c r="V41" s="3">
        <f>S41-T41</f>
        <v>108007.1</v>
      </c>
      <c r="X41" s="9">
        <f t="shared" si="1"/>
        <v>1920688.6399999997</v>
      </c>
      <c r="Y41" s="3"/>
      <c r="Z41" s="10">
        <v>0.05</v>
      </c>
    </row>
    <row r="42" spans="1:26" x14ac:dyDescent="0.2">
      <c r="A42" s="6"/>
      <c r="B42" s="6"/>
      <c r="C42" s="29"/>
      <c r="D42" s="3"/>
      <c r="E42" s="28"/>
      <c r="F42" s="3"/>
      <c r="H42" s="3"/>
      <c r="I42" s="3"/>
      <c r="J42" s="3"/>
      <c r="K42" s="2"/>
      <c r="M42" s="3"/>
      <c r="N42" s="3"/>
      <c r="O42" s="3" t="s">
        <v>1</v>
      </c>
      <c r="P42" s="3"/>
      <c r="Q42" s="3" t="s">
        <v>1</v>
      </c>
      <c r="R42" s="30"/>
      <c r="S42" s="129"/>
      <c r="T42" s="229"/>
      <c r="U42" s="30"/>
      <c r="V42" s="3" t="s">
        <v>1</v>
      </c>
      <c r="X42" s="9"/>
      <c r="Y42" s="3"/>
      <c r="Z42" s="10"/>
    </row>
    <row r="43" spans="1:26" x14ac:dyDescent="0.2">
      <c r="A43" s="6" t="s">
        <v>59</v>
      </c>
      <c r="B43" s="6"/>
      <c r="C43" s="29"/>
      <c r="D43" s="3">
        <v>7975307.0300000003</v>
      </c>
      <c r="E43" s="28"/>
      <c r="F43" s="3">
        <f>(9168473-2289309+12601811-2998063)*F6</f>
        <v>14834620.800000001</v>
      </c>
      <c r="H43" s="3">
        <v>15861526</v>
      </c>
      <c r="I43" s="3">
        <f>J43-H43</f>
        <v>4206020</v>
      </c>
      <c r="J43" s="3">
        <f>17805764+2261782</f>
        <v>20067546</v>
      </c>
      <c r="K43" s="2"/>
      <c r="L43" s="3">
        <f>$H43*$L$4</f>
        <v>15544295.48</v>
      </c>
      <c r="M43" s="3">
        <f>$I43*$M$4</f>
        <v>3995719</v>
      </c>
      <c r="N43" s="3"/>
      <c r="O43" s="3">
        <f>M43+L43</f>
        <v>19540014.48</v>
      </c>
      <c r="P43" s="3"/>
      <c r="Q43" s="3">
        <f>D43-F43+O43</f>
        <v>12680700.710000001</v>
      </c>
      <c r="R43" s="3"/>
      <c r="S43" s="129">
        <f>6028807*1.07</f>
        <v>6450823.4900000002</v>
      </c>
      <c r="T43" s="228">
        <v>1493269</v>
      </c>
      <c r="U43" s="3"/>
      <c r="V43" s="3">
        <f>S43-T43</f>
        <v>4957554.49</v>
      </c>
      <c r="X43" s="9">
        <f t="shared" si="1"/>
        <v>7723146.2200000007</v>
      </c>
      <c r="Y43" s="3"/>
      <c r="Z43" s="10">
        <v>7.0000000000000007E-2</v>
      </c>
    </row>
    <row r="44" spans="1:26" x14ac:dyDescent="0.2">
      <c r="A44" s="6"/>
      <c r="B44" s="6"/>
      <c r="C44" s="29"/>
      <c r="D44" s="3"/>
      <c r="E44" s="28"/>
      <c r="F44" s="3"/>
      <c r="H44" s="3"/>
      <c r="I44" s="3"/>
      <c r="J44" s="3"/>
      <c r="K44" s="2"/>
      <c r="M44" s="3"/>
      <c r="N44" s="3"/>
      <c r="O44" s="3" t="s">
        <v>1</v>
      </c>
      <c r="P44" s="3"/>
      <c r="Q44" s="3" t="s">
        <v>1</v>
      </c>
      <c r="R44" s="30"/>
      <c r="S44" s="129"/>
      <c r="T44" s="109"/>
      <c r="U44" s="30"/>
      <c r="V44" s="3" t="s">
        <v>1</v>
      </c>
      <c r="X44" s="9"/>
      <c r="Y44" s="3"/>
      <c r="Z44" s="10"/>
    </row>
    <row r="45" spans="1:26" x14ac:dyDescent="0.2">
      <c r="A45" s="6" t="s">
        <v>113</v>
      </c>
      <c r="B45" s="6"/>
      <c r="C45" s="29"/>
      <c r="D45" s="3">
        <v>12876859.85</v>
      </c>
      <c r="E45" s="28"/>
      <c r="F45" s="3">
        <f>(30268380-7507843)*F6</f>
        <v>20484483.300000001</v>
      </c>
      <c r="H45" s="3">
        <v>9336931</v>
      </c>
      <c r="I45" s="3">
        <f>J45-H45</f>
        <v>11942450</v>
      </c>
      <c r="J45" s="3">
        <v>21279381</v>
      </c>
      <c r="K45" s="2"/>
      <c r="L45" s="3">
        <f>$H45*$L$4</f>
        <v>9150192.379999999</v>
      </c>
      <c r="M45" s="3">
        <f>$I45*$M$4</f>
        <v>11345327.5</v>
      </c>
      <c r="N45" s="3"/>
      <c r="O45" s="3">
        <f>M45+L45</f>
        <v>20495519.879999999</v>
      </c>
      <c r="P45" s="3"/>
      <c r="Q45" s="3">
        <f>D45-F45+O45</f>
        <v>12887896.429999998</v>
      </c>
      <c r="R45" s="30"/>
      <c r="S45" s="129">
        <f>8682673*1.07</f>
        <v>9290460.1100000013</v>
      </c>
      <c r="T45" s="228">
        <v>4533363</v>
      </c>
      <c r="U45" s="30"/>
      <c r="V45" s="3">
        <f>S45-T45</f>
        <v>4757097.1100000013</v>
      </c>
      <c r="X45" s="9">
        <f t="shared" si="1"/>
        <v>8130799.3199999966</v>
      </c>
      <c r="Y45" s="3"/>
      <c r="Z45" s="10">
        <v>7.0000000000000007E-2</v>
      </c>
    </row>
    <row r="46" spans="1:26" ht="13.5" thickBot="1" x14ac:dyDescent="0.25">
      <c r="A46" s="6"/>
      <c r="B46" s="6"/>
      <c r="C46" s="29"/>
      <c r="D46" s="3"/>
      <c r="E46" s="28"/>
      <c r="F46" s="3"/>
      <c r="H46" s="3"/>
      <c r="I46" s="3"/>
      <c r="J46" s="3"/>
      <c r="K46" s="2"/>
      <c r="L46" s="3" t="s">
        <v>1</v>
      </c>
      <c r="M46" s="3"/>
      <c r="N46" s="3"/>
      <c r="O46" s="3" t="s">
        <v>1</v>
      </c>
      <c r="P46" s="3"/>
      <c r="Q46" s="3" t="s">
        <v>1</v>
      </c>
      <c r="R46" s="30"/>
      <c r="S46" s="129"/>
      <c r="T46" s="228"/>
      <c r="U46" s="30"/>
      <c r="V46" s="3" t="s">
        <v>1</v>
      </c>
      <c r="X46" s="9"/>
      <c r="Y46" s="3"/>
      <c r="Z46" s="10"/>
    </row>
    <row r="47" spans="1:26" x14ac:dyDescent="0.2">
      <c r="A47" s="6" t="s">
        <v>39</v>
      </c>
      <c r="B47" s="6"/>
      <c r="C47" s="29"/>
      <c r="D47" s="3">
        <v>587109.6</v>
      </c>
      <c r="E47" s="28"/>
      <c r="F47" s="3">
        <f>(459807-50315)*F6</f>
        <v>368542.8</v>
      </c>
      <c r="H47" s="3">
        <v>0</v>
      </c>
      <c r="I47" s="3">
        <f>J47-H47</f>
        <v>99359</v>
      </c>
      <c r="J47" s="3">
        <v>99359</v>
      </c>
      <c r="K47" s="2"/>
      <c r="L47" s="3">
        <f>$H47*$L$4</f>
        <v>0</v>
      </c>
      <c r="M47" s="3">
        <f>$I47*$M$4</f>
        <v>94391.049999999988</v>
      </c>
      <c r="N47" s="3"/>
      <c r="O47" s="3">
        <f>M47+L47</f>
        <v>94391.049999999988</v>
      </c>
      <c r="P47" s="3"/>
      <c r="Q47" s="3">
        <f>D47-F47+O47</f>
        <v>312957.84999999998</v>
      </c>
      <c r="R47" s="30"/>
      <c r="S47" s="245">
        <f>50522*1.06</f>
        <v>53553.32</v>
      </c>
      <c r="T47" s="233">
        <v>111877</v>
      </c>
      <c r="U47" s="223"/>
      <c r="V47" s="131">
        <f>S47-T47+V48</f>
        <v>0.31999999999970896</v>
      </c>
      <c r="X47" s="9">
        <f t="shared" si="1"/>
        <v>312957.52999999997</v>
      </c>
      <c r="Y47" s="3"/>
      <c r="Z47" s="10">
        <v>0.06</v>
      </c>
    </row>
    <row r="48" spans="1:26" ht="13.5" thickBot="1" x14ac:dyDescent="0.25">
      <c r="A48" s="6"/>
      <c r="B48" s="6"/>
      <c r="C48" s="29"/>
      <c r="D48" s="3"/>
      <c r="F48" s="3"/>
      <c r="G48" s="2"/>
      <c r="H48" s="3"/>
      <c r="I48" s="3"/>
      <c r="J48" s="3"/>
      <c r="K48" s="2"/>
      <c r="L48" s="3" t="s">
        <v>1</v>
      </c>
      <c r="M48" s="3"/>
      <c r="N48" s="3"/>
      <c r="O48" s="3" t="s">
        <v>1</v>
      </c>
      <c r="P48" s="3"/>
      <c r="Q48" s="3" t="s">
        <v>1</v>
      </c>
      <c r="R48" s="30"/>
      <c r="S48" s="238"/>
      <c r="T48" s="234"/>
      <c r="U48" s="224"/>
      <c r="V48" s="132">
        <v>58324</v>
      </c>
      <c r="X48" s="9"/>
      <c r="Y48" s="3"/>
      <c r="Z48" s="10"/>
    </row>
    <row r="49" spans="1:26" x14ac:dyDescent="0.2">
      <c r="A49" s="6" t="s">
        <v>114</v>
      </c>
      <c r="B49" s="6"/>
      <c r="C49" s="29"/>
      <c r="D49" s="3">
        <v>2358415.0099999998</v>
      </c>
      <c r="F49" s="3">
        <f>7690164-1614713</f>
        <v>6075451</v>
      </c>
      <c r="G49" s="2"/>
      <c r="H49" s="3">
        <v>0</v>
      </c>
      <c r="I49" s="3">
        <f>J49-H49</f>
        <v>6210463</v>
      </c>
      <c r="J49" s="3">
        <v>6210463</v>
      </c>
      <c r="K49" s="2"/>
      <c r="L49" s="3">
        <f>$H49*$L$4</f>
        <v>0</v>
      </c>
      <c r="M49" s="3">
        <f>$I49*$M$4</f>
        <v>5899939.8499999996</v>
      </c>
      <c r="N49" s="3"/>
      <c r="O49" s="3">
        <f>M49+L49</f>
        <v>5899939.8499999996</v>
      </c>
      <c r="P49" s="3"/>
      <c r="Q49" s="3">
        <f>D49-F49+O49</f>
        <v>2182903.8599999994</v>
      </c>
      <c r="R49" s="30"/>
      <c r="S49" s="3">
        <f>1917194*1.05</f>
        <v>2013053.7000000002</v>
      </c>
      <c r="T49" s="9">
        <v>1775533</v>
      </c>
      <c r="U49" s="30"/>
      <c r="V49" s="3">
        <f>S49-T49+V50</f>
        <v>237520.70000000019</v>
      </c>
      <c r="X49" s="9">
        <f t="shared" si="1"/>
        <v>1945383.1599999992</v>
      </c>
      <c r="Y49" s="3"/>
      <c r="Z49" s="10">
        <v>0.05</v>
      </c>
    </row>
    <row r="50" spans="1:26" ht="13.5" thickBot="1" x14ac:dyDescent="0.25">
      <c r="A50" s="6"/>
      <c r="B50" s="72"/>
      <c r="C50" s="29"/>
      <c r="D50" s="3"/>
      <c r="F50" s="3"/>
      <c r="G50" s="2"/>
      <c r="H50" s="3"/>
      <c r="I50" s="3"/>
      <c r="J50" s="3"/>
      <c r="K50" s="2"/>
      <c r="L50" s="3" t="s">
        <v>1</v>
      </c>
      <c r="M50" s="3"/>
      <c r="N50" s="3"/>
      <c r="O50" s="3"/>
      <c r="P50" s="3"/>
      <c r="Q50" s="3"/>
      <c r="R50" s="30"/>
      <c r="S50" s="3"/>
      <c r="T50" s="235"/>
      <c r="U50" s="30"/>
      <c r="V50" s="133"/>
      <c r="X50" s="9">
        <f t="shared" si="1"/>
        <v>0</v>
      </c>
      <c r="Y50" s="3"/>
      <c r="Z50" s="10"/>
    </row>
    <row r="51" spans="1:26" x14ac:dyDescent="0.2">
      <c r="A51" s="6" t="s">
        <v>120</v>
      </c>
      <c r="B51" s="6"/>
      <c r="C51" s="29"/>
      <c r="D51" s="3">
        <v>34471945.140000001</v>
      </c>
      <c r="F51" s="3">
        <f>(22492289-2741399)*F6</f>
        <v>17775801</v>
      </c>
      <c r="G51" s="2"/>
      <c r="H51" s="3">
        <v>0</v>
      </c>
      <c r="I51" s="3">
        <f>J51-H51</f>
        <v>15503599</v>
      </c>
      <c r="J51" s="3">
        <v>15503599</v>
      </c>
      <c r="K51" s="2"/>
      <c r="L51" s="3">
        <f>$H51*$L$4</f>
        <v>0</v>
      </c>
      <c r="M51" s="3">
        <f>$I51*$M$4</f>
        <v>14728419.049999999</v>
      </c>
      <c r="N51" s="3"/>
      <c r="O51" s="3">
        <f>M51+L51</f>
        <v>14728419.049999999</v>
      </c>
      <c r="P51" s="3"/>
      <c r="Q51" s="3">
        <f>D51-F51+O51</f>
        <v>31424563.189999998</v>
      </c>
      <c r="R51" s="30"/>
      <c r="S51" s="245">
        <f>3343411*1.06</f>
        <v>3544015.66</v>
      </c>
      <c r="T51" s="233">
        <v>6751014</v>
      </c>
      <c r="U51" s="223"/>
      <c r="V51" s="131">
        <f>S51-T51+V52</f>
        <v>-0.33999999985098839</v>
      </c>
      <c r="W51" s="77"/>
      <c r="X51" s="9">
        <f t="shared" si="1"/>
        <v>31424563.529999997</v>
      </c>
      <c r="Y51" s="3"/>
      <c r="Z51" s="121">
        <v>0.06</v>
      </c>
    </row>
    <row r="52" spans="1:26" x14ac:dyDescent="0.2">
      <c r="A52" s="6"/>
      <c r="B52" s="6"/>
      <c r="C52" s="29"/>
      <c r="D52" s="3"/>
      <c r="F52" s="3"/>
      <c r="G52" s="2"/>
      <c r="H52" s="3"/>
      <c r="I52" s="3"/>
      <c r="J52" s="3"/>
      <c r="K52" s="2"/>
      <c r="L52" s="3"/>
      <c r="M52" s="3"/>
      <c r="N52" s="3"/>
      <c r="O52" s="3"/>
      <c r="P52" s="3"/>
      <c r="Q52" s="3"/>
      <c r="R52" s="30"/>
      <c r="S52" s="225"/>
      <c r="T52" s="9"/>
      <c r="U52" s="30"/>
      <c r="V52" s="135">
        <v>3206998</v>
      </c>
      <c r="W52" s="77"/>
      <c r="X52" s="9"/>
      <c r="Y52" s="3"/>
      <c r="Z52" s="121"/>
    </row>
    <row r="53" spans="1:26" x14ac:dyDescent="0.2">
      <c r="A53" s="6" t="s">
        <v>121</v>
      </c>
      <c r="B53" s="6"/>
      <c r="C53" s="29"/>
      <c r="D53" s="3">
        <v>2007534.44</v>
      </c>
      <c r="F53" s="3">
        <f>(20452514-2305289.2+4835876-1415503.21)*F7</f>
        <v>0</v>
      </c>
      <c r="G53" s="2"/>
      <c r="H53" s="3">
        <v>0</v>
      </c>
      <c r="I53" s="3">
        <f>J53-H53</f>
        <v>0</v>
      </c>
      <c r="J53" s="3">
        <v>0</v>
      </c>
      <c r="K53" s="2"/>
      <c r="L53" s="3">
        <f>$H53*$L$4</f>
        <v>0</v>
      </c>
      <c r="M53" s="3">
        <f>$I53*$M$4</f>
        <v>0</v>
      </c>
      <c r="N53" s="3"/>
      <c r="O53" s="3">
        <f>M53+L53</f>
        <v>0</v>
      </c>
      <c r="P53" s="3"/>
      <c r="Q53" s="3">
        <f>D53-F53+O53</f>
        <v>2007534.44</v>
      </c>
      <c r="R53" s="30"/>
      <c r="S53" s="237">
        <v>43578</v>
      </c>
      <c r="T53" s="9">
        <v>15315</v>
      </c>
      <c r="U53" s="30"/>
      <c r="V53" s="134">
        <f>S53-T53+V54</f>
        <v>28263</v>
      </c>
      <c r="W53" s="77"/>
      <c r="X53" s="9">
        <f t="shared" si="1"/>
        <v>1979271.44</v>
      </c>
      <c r="Y53" s="3"/>
      <c r="Z53" s="121">
        <v>0.06</v>
      </c>
    </row>
    <row r="54" spans="1:26" x14ac:dyDescent="0.2">
      <c r="A54" s="6"/>
      <c r="B54" s="6"/>
      <c r="C54" s="29"/>
      <c r="D54" s="3"/>
      <c r="F54" s="3"/>
      <c r="G54" s="2"/>
      <c r="H54" s="3"/>
      <c r="I54" s="3"/>
      <c r="J54" s="3"/>
      <c r="K54" s="2"/>
      <c r="L54" s="3"/>
      <c r="M54" s="3"/>
      <c r="N54" s="3"/>
      <c r="O54" s="3"/>
      <c r="P54" s="3"/>
      <c r="Q54" s="3"/>
      <c r="R54" s="30"/>
      <c r="S54" s="237"/>
      <c r="T54" s="9"/>
      <c r="U54" s="30"/>
      <c r="V54" s="135">
        <v>0</v>
      </c>
      <c r="W54" s="77"/>
      <c r="X54" s="9"/>
      <c r="Y54" s="3"/>
      <c r="Z54" s="121"/>
    </row>
    <row r="55" spans="1:26" x14ac:dyDescent="0.2">
      <c r="A55" s="6" t="s">
        <v>122</v>
      </c>
      <c r="B55" s="6"/>
      <c r="C55" s="29"/>
      <c r="D55" s="3">
        <v>5419375.7400000002</v>
      </c>
      <c r="F55" s="3">
        <f>(20452514-2305289.2+4835876-1415503.21)*F10</f>
        <v>0</v>
      </c>
      <c r="G55" s="2"/>
      <c r="H55" s="3">
        <v>0</v>
      </c>
      <c r="I55" s="3">
        <f>J55-H55</f>
        <v>0</v>
      </c>
      <c r="J55" s="3">
        <v>0</v>
      </c>
      <c r="K55" s="2"/>
      <c r="L55" s="3">
        <f>$H55*$L$4</f>
        <v>0</v>
      </c>
      <c r="M55" s="3">
        <f>$I55*$M$4</f>
        <v>0</v>
      </c>
      <c r="N55" s="3"/>
      <c r="O55" s="3">
        <f>M55+L55</f>
        <v>0</v>
      </c>
      <c r="P55" s="3"/>
      <c r="Q55" s="3">
        <f>D55-F55+O55</f>
        <v>5419375.7400000002</v>
      </c>
      <c r="R55" s="30"/>
      <c r="S55" s="237">
        <v>0</v>
      </c>
      <c r="T55" s="9">
        <v>21368</v>
      </c>
      <c r="U55" s="30"/>
      <c r="V55" s="134">
        <f>S55-T55+V56</f>
        <v>0</v>
      </c>
      <c r="W55" s="77"/>
      <c r="X55" s="9">
        <f t="shared" si="1"/>
        <v>5419375.7400000002</v>
      </c>
      <c r="Y55" s="3"/>
      <c r="Z55" s="121">
        <v>0.06</v>
      </c>
    </row>
    <row r="56" spans="1:26" x14ac:dyDescent="0.2">
      <c r="A56" s="6"/>
      <c r="B56" s="6"/>
      <c r="C56" s="29"/>
      <c r="D56" s="3"/>
      <c r="F56" s="3"/>
      <c r="G56" s="2"/>
      <c r="H56" s="3"/>
      <c r="I56" s="3"/>
      <c r="J56" s="3"/>
      <c r="K56" s="2"/>
      <c r="L56" s="3"/>
      <c r="M56" s="3"/>
      <c r="N56" s="3"/>
      <c r="O56" s="3"/>
      <c r="P56" s="3"/>
      <c r="Q56" s="3"/>
      <c r="R56" s="30"/>
      <c r="S56" s="237"/>
      <c r="T56" s="9"/>
      <c r="U56" s="30"/>
      <c r="V56" s="135">
        <v>21368</v>
      </c>
      <c r="W56" s="77"/>
      <c r="X56" s="9"/>
      <c r="Y56" s="3"/>
      <c r="Z56" s="121"/>
    </row>
    <row r="57" spans="1:26" x14ac:dyDescent="0.2">
      <c r="A57" s="6" t="s">
        <v>123</v>
      </c>
      <c r="B57" s="6"/>
      <c r="C57" s="29"/>
      <c r="D57" s="3">
        <v>2521008.52</v>
      </c>
      <c r="F57" s="3">
        <f>(20452514-2305289.2+4835876-1415503.21)*F11</f>
        <v>0</v>
      </c>
      <c r="G57" s="2"/>
      <c r="H57" s="3">
        <v>0</v>
      </c>
      <c r="I57" s="3">
        <f>J57-H57</f>
        <v>0</v>
      </c>
      <c r="J57" s="3">
        <v>0</v>
      </c>
      <c r="K57" s="2"/>
      <c r="L57" s="3">
        <f>$H57*$L$4</f>
        <v>0</v>
      </c>
      <c r="M57" s="3">
        <f>$I57*$M$4</f>
        <v>0</v>
      </c>
      <c r="N57" s="3"/>
      <c r="O57" s="3">
        <f>M57+L57</f>
        <v>0</v>
      </c>
      <c r="P57" s="3"/>
      <c r="Q57" s="3">
        <f>D57-F57+O57</f>
        <v>2521008.52</v>
      </c>
      <c r="R57" s="30"/>
      <c r="S57" s="237">
        <v>0</v>
      </c>
      <c r="T57" s="9">
        <v>9940</v>
      </c>
      <c r="U57" s="30"/>
      <c r="V57" s="134">
        <f>S57-T57+V58</f>
        <v>0</v>
      </c>
      <c r="W57" s="77"/>
      <c r="X57" s="9">
        <f t="shared" si="1"/>
        <v>2521008.52</v>
      </c>
      <c r="Y57" s="3"/>
      <c r="Z57" s="121">
        <v>0.06</v>
      </c>
    </row>
    <row r="58" spans="1:26" ht="13.5" thickBot="1" x14ac:dyDescent="0.25">
      <c r="A58" s="6"/>
      <c r="B58" s="6"/>
      <c r="C58" s="29"/>
      <c r="D58" s="3"/>
      <c r="F58" s="3"/>
      <c r="G58" s="2"/>
      <c r="H58" s="3"/>
      <c r="I58" s="3"/>
      <c r="J58" s="3"/>
      <c r="K58" s="2"/>
      <c r="L58" s="3"/>
      <c r="M58" s="3"/>
      <c r="N58" s="3"/>
      <c r="O58" s="3"/>
      <c r="P58" s="3"/>
      <c r="Q58" s="3"/>
      <c r="R58" s="30"/>
      <c r="S58" s="238"/>
      <c r="T58" s="236"/>
      <c r="U58" s="224"/>
      <c r="V58" s="132">
        <v>9940</v>
      </c>
      <c r="W58" s="77"/>
      <c r="X58" s="9"/>
      <c r="Y58" s="3"/>
      <c r="Z58" s="121"/>
    </row>
    <row r="59" spans="1:26" x14ac:dyDescent="0.2">
      <c r="A59" s="6" t="s">
        <v>41</v>
      </c>
      <c r="B59" s="6"/>
      <c r="C59" s="29"/>
      <c r="D59" s="3">
        <v>649786.38</v>
      </c>
      <c r="E59" s="28"/>
      <c r="F59" s="3">
        <f>(1243149-201436)*F6</f>
        <v>937541.70000000007</v>
      </c>
      <c r="H59" s="3">
        <v>0</v>
      </c>
      <c r="I59" s="3">
        <f>J59-H59</f>
        <v>1047186</v>
      </c>
      <c r="J59" s="3">
        <v>1047186</v>
      </c>
      <c r="K59" s="2"/>
      <c r="L59" s="3">
        <f>$H59*$L$4</f>
        <v>0</v>
      </c>
      <c r="M59" s="3">
        <f>$I59*$M$4</f>
        <v>994826.7</v>
      </c>
      <c r="N59" s="3"/>
      <c r="O59" s="3">
        <f>M59+L59</f>
        <v>994826.7</v>
      </c>
      <c r="P59" s="3"/>
      <c r="Q59" s="3">
        <f>D59-F59+O59</f>
        <v>707071.37999999989</v>
      </c>
      <c r="R59" s="30"/>
      <c r="S59" s="3">
        <f>227560*1.05</f>
        <v>238938</v>
      </c>
      <c r="T59" s="9">
        <v>195963</v>
      </c>
      <c r="U59" s="30"/>
      <c r="V59" s="3">
        <f>S59-T59+V60</f>
        <v>42975</v>
      </c>
      <c r="X59" s="9">
        <f t="shared" si="1"/>
        <v>664096.37999999989</v>
      </c>
      <c r="Y59" s="3"/>
      <c r="Z59" s="10">
        <v>0.05</v>
      </c>
    </row>
    <row r="60" spans="1:26" s="37" customFormat="1" ht="13.5" thickBot="1" x14ac:dyDescent="0.25">
      <c r="A60" s="65"/>
      <c r="B60" s="70"/>
      <c r="C60" s="32"/>
      <c r="D60" s="63"/>
      <c r="F60" s="63"/>
      <c r="H60" s="63"/>
      <c r="I60" s="3" t="s">
        <v>1</v>
      </c>
      <c r="J60" s="63"/>
      <c r="K60" s="62"/>
      <c r="L60" s="62"/>
      <c r="M60" s="63"/>
      <c r="N60" s="63"/>
      <c r="O60" s="63"/>
      <c r="P60" s="63"/>
      <c r="Q60" s="63"/>
      <c r="R60" s="38"/>
      <c r="S60" s="63"/>
      <c r="T60" s="61"/>
      <c r="U60" s="38"/>
      <c r="V60" s="133"/>
      <c r="W60" s="74"/>
      <c r="X60" s="9"/>
      <c r="Y60" s="63"/>
      <c r="Z60" s="127"/>
    </row>
    <row r="61" spans="1:26" x14ac:dyDescent="0.2">
      <c r="A61" s="6" t="s">
        <v>97</v>
      </c>
      <c r="B61" s="6"/>
      <c r="C61" s="29"/>
      <c r="D61" s="3">
        <v>2833.11</v>
      </c>
      <c r="E61" s="28"/>
      <c r="F61" s="3">
        <f>20000-0</f>
        <v>20000</v>
      </c>
      <c r="H61" s="3">
        <f>J61</f>
        <v>19962</v>
      </c>
      <c r="I61" s="3">
        <v>0</v>
      </c>
      <c r="J61" s="3">
        <v>19962</v>
      </c>
      <c r="K61" s="2"/>
      <c r="L61" s="3">
        <f>$H61*$L$4</f>
        <v>19562.759999999998</v>
      </c>
      <c r="M61" s="3">
        <f>$I61*$M$4</f>
        <v>0</v>
      </c>
      <c r="N61" s="3"/>
      <c r="O61" s="3">
        <f>M61+L61</f>
        <v>19562.759999999998</v>
      </c>
      <c r="P61" s="3"/>
      <c r="Q61" s="3">
        <f>D61-F61+O61</f>
        <v>2395.869999999999</v>
      </c>
      <c r="R61" s="30"/>
      <c r="S61" s="245">
        <v>0</v>
      </c>
      <c r="T61" s="231">
        <v>38</v>
      </c>
      <c r="U61" s="223"/>
      <c r="V61" s="131">
        <f>S61-T61+V62</f>
        <v>0</v>
      </c>
      <c r="X61" s="9">
        <f t="shared" si="1"/>
        <v>2395.869999999999</v>
      </c>
      <c r="Y61" s="3"/>
      <c r="Z61" s="10"/>
    </row>
    <row r="62" spans="1:26" s="37" customFormat="1" ht="13.5" thickBot="1" x14ac:dyDescent="0.25">
      <c r="A62" s="65"/>
      <c r="B62" s="70"/>
      <c r="C62" s="32"/>
      <c r="D62" s="63"/>
      <c r="F62" s="63"/>
      <c r="H62" s="63"/>
      <c r="I62" s="3" t="s">
        <v>1</v>
      </c>
      <c r="J62" s="63"/>
      <c r="K62" s="62"/>
      <c r="L62" s="63"/>
      <c r="M62" s="63"/>
      <c r="N62" s="63"/>
      <c r="O62" s="63"/>
      <c r="P62" s="63"/>
      <c r="Q62" s="63"/>
      <c r="R62" s="38"/>
      <c r="S62" s="246"/>
      <c r="T62" s="239"/>
      <c r="U62" s="226"/>
      <c r="V62" s="132">
        <v>38</v>
      </c>
      <c r="W62" s="74"/>
      <c r="X62" s="61"/>
      <c r="Y62" s="63"/>
      <c r="Z62" s="127"/>
    </row>
    <row r="63" spans="1:26" x14ac:dyDescent="0.2">
      <c r="A63" s="6" t="s">
        <v>42</v>
      </c>
      <c r="B63" s="6"/>
      <c r="C63" s="29"/>
      <c r="D63" s="3">
        <v>2754333.68</v>
      </c>
      <c r="E63" s="28"/>
      <c r="F63" s="3">
        <f>(2306015-191637)*F6</f>
        <v>1902940.2</v>
      </c>
      <c r="H63" s="3">
        <v>1636801</v>
      </c>
      <c r="I63" s="3">
        <f>J63-H63</f>
        <v>88190</v>
      </c>
      <c r="J63" s="3">
        <v>1724991</v>
      </c>
      <c r="K63" s="2"/>
      <c r="L63" s="3">
        <f>$H63*$L$4</f>
        <v>1604064.98</v>
      </c>
      <c r="M63" s="3">
        <f>$I63*$M$4</f>
        <v>83780.5</v>
      </c>
      <c r="N63" s="3"/>
      <c r="O63" s="3">
        <f>M63+L63</f>
        <v>1687845.48</v>
      </c>
      <c r="P63" s="3"/>
      <c r="Q63" s="3">
        <f>D63-F63+O63</f>
        <v>2539238.96</v>
      </c>
      <c r="R63" s="30"/>
      <c r="S63" s="129">
        <f>236696*1.06</f>
        <v>250897.76</v>
      </c>
      <c r="T63" s="228">
        <v>64401</v>
      </c>
      <c r="U63" s="30"/>
      <c r="V63" s="3">
        <f>S63-T63</f>
        <v>186496.76</v>
      </c>
      <c r="X63" s="9">
        <f>Q63-V63+W63</f>
        <v>2352742.2000000002</v>
      </c>
      <c r="Y63" s="3"/>
      <c r="Z63" s="10">
        <v>0.06</v>
      </c>
    </row>
    <row r="64" spans="1:26" ht="13.5" thickBot="1" x14ac:dyDescent="0.25">
      <c r="A64" s="6"/>
      <c r="B64" s="6"/>
      <c r="C64" s="29"/>
      <c r="D64" s="3"/>
      <c r="E64" s="28"/>
      <c r="F64" s="3"/>
      <c r="H64" s="3"/>
      <c r="I64" s="3"/>
      <c r="J64" s="3"/>
      <c r="K64" s="2"/>
      <c r="M64" s="3"/>
      <c r="N64" s="3"/>
      <c r="O64" s="3" t="s">
        <v>1</v>
      </c>
      <c r="P64" s="3"/>
      <c r="Q64" s="3" t="s">
        <v>1</v>
      </c>
      <c r="R64" s="30"/>
      <c r="S64" s="129"/>
      <c r="T64" s="229"/>
      <c r="U64" s="30"/>
      <c r="V64" s="3" t="s">
        <v>1</v>
      </c>
      <c r="X64" s="9" t="s">
        <v>1</v>
      </c>
      <c r="Y64" s="3"/>
      <c r="Z64" s="10"/>
    </row>
    <row r="65" spans="1:26" x14ac:dyDescent="0.2">
      <c r="A65" s="6" t="s">
        <v>60</v>
      </c>
      <c r="B65" s="6"/>
      <c r="C65" s="29"/>
      <c r="D65" s="3">
        <v>4522915.8399999999</v>
      </c>
      <c r="E65" s="28"/>
      <c r="F65" s="3">
        <f>(3803377-749599)*F6</f>
        <v>2748400.2</v>
      </c>
      <c r="H65" s="3">
        <v>0</v>
      </c>
      <c r="I65" s="3">
        <f>J65-H65</f>
        <v>2636751</v>
      </c>
      <c r="J65" s="3">
        <v>2636751</v>
      </c>
      <c r="K65" s="2"/>
      <c r="L65" s="3">
        <f>$H65*$L$4</f>
        <v>0</v>
      </c>
      <c r="M65" s="3">
        <f>$I65*$M$4</f>
        <v>2504913.4499999997</v>
      </c>
      <c r="N65" s="3"/>
      <c r="O65" s="3">
        <f>M65+L65</f>
        <v>2504913.4499999997</v>
      </c>
      <c r="P65" s="3"/>
      <c r="Q65" s="3">
        <f>D65-F65+O65</f>
        <v>4279429.09</v>
      </c>
      <c r="R65" s="30"/>
      <c r="S65" s="245">
        <f>883183*1.07</f>
        <v>945005.81</v>
      </c>
      <c r="T65" s="231">
        <v>1057957</v>
      </c>
      <c r="U65" s="223"/>
      <c r="V65" s="131">
        <f>S65-T65+V66</f>
        <v>-0.18999999994412065</v>
      </c>
      <c r="X65" s="9">
        <f>Q65-V65+W65</f>
        <v>4279429.2799999993</v>
      </c>
      <c r="Y65" s="3"/>
      <c r="Z65" s="10">
        <v>7.0000000000000007E-2</v>
      </c>
    </row>
    <row r="66" spans="1:26" s="37" customFormat="1" ht="13.5" thickBot="1" x14ac:dyDescent="0.25">
      <c r="A66" s="62"/>
      <c r="B66" s="89"/>
      <c r="D66" s="63"/>
      <c r="F66" s="63"/>
      <c r="H66" s="63"/>
      <c r="I66" s="63"/>
      <c r="J66" s="63"/>
      <c r="K66" s="62"/>
      <c r="L66" s="63"/>
      <c r="M66" s="63"/>
      <c r="N66" s="63"/>
      <c r="O66" s="63"/>
      <c r="P66" s="63"/>
      <c r="Q66" s="63"/>
      <c r="R66" s="38"/>
      <c r="S66" s="246"/>
      <c r="T66" s="239"/>
      <c r="U66" s="226"/>
      <c r="V66" s="132">
        <v>112951</v>
      </c>
      <c r="W66" s="74"/>
      <c r="X66" s="61"/>
      <c r="Y66" s="63"/>
      <c r="Z66" s="127"/>
    </row>
    <row r="67" spans="1:26" x14ac:dyDescent="0.2">
      <c r="A67" s="6" t="s">
        <v>66</v>
      </c>
      <c r="B67" s="6"/>
      <c r="C67" s="29"/>
      <c r="D67" s="3">
        <v>1555484.31</v>
      </c>
      <c r="E67" s="28"/>
      <c r="F67" s="3">
        <f>(2191172-415916)*F6</f>
        <v>1597730.4000000001</v>
      </c>
      <c r="H67" s="3">
        <v>0</v>
      </c>
      <c r="I67" s="3">
        <f>J67-H67</f>
        <v>770330</v>
      </c>
      <c r="J67" s="3">
        <v>770330</v>
      </c>
      <c r="K67" s="2"/>
      <c r="L67" s="3">
        <f>$H67*$L$4</f>
        <v>0</v>
      </c>
      <c r="M67" s="3">
        <f>$I67</f>
        <v>770330</v>
      </c>
      <c r="N67" s="3"/>
      <c r="O67" s="3">
        <f>M67+L67</f>
        <v>770330</v>
      </c>
      <c r="P67" s="3"/>
      <c r="Q67" s="3">
        <f>D67-F67+O67</f>
        <v>728083.90999999992</v>
      </c>
      <c r="R67" s="30"/>
      <c r="S67" s="245">
        <f>416066*1.06</f>
        <v>441029.96</v>
      </c>
      <c r="T67" s="231">
        <v>271842</v>
      </c>
      <c r="U67" s="223"/>
      <c r="V67" s="131">
        <f>S67-T67+V68</f>
        <v>169187.96000000002</v>
      </c>
      <c r="W67" s="256"/>
      <c r="X67" s="9">
        <f>Q67-V67+W67</f>
        <v>558895.94999999995</v>
      </c>
      <c r="Y67" s="3"/>
      <c r="Z67" s="10">
        <v>0.06</v>
      </c>
    </row>
    <row r="68" spans="1:26" ht="13.5" thickBot="1" x14ac:dyDescent="0.25">
      <c r="A68" s="254" t="s">
        <v>1</v>
      </c>
      <c r="B68" s="254"/>
      <c r="C68" s="255"/>
      <c r="D68" s="3"/>
      <c r="E68" s="28"/>
      <c r="F68" s="3"/>
      <c r="H68" s="3"/>
      <c r="I68" s="3"/>
      <c r="J68" s="3"/>
      <c r="K68" s="2"/>
      <c r="L68" s="3"/>
      <c r="M68" s="3"/>
      <c r="N68" s="3"/>
      <c r="O68" s="3"/>
      <c r="P68" s="3"/>
      <c r="Q68" s="3"/>
      <c r="R68" s="30"/>
      <c r="S68" s="238"/>
      <c r="T68" s="240"/>
      <c r="U68" s="224"/>
      <c r="V68" s="132">
        <v>0</v>
      </c>
      <c r="X68" s="9"/>
      <c r="Y68" s="3"/>
      <c r="Z68" s="10"/>
    </row>
    <row r="69" spans="1:26" s="37" customFormat="1" x14ac:dyDescent="0.2">
      <c r="B69" s="65"/>
      <c r="C69" s="32"/>
      <c r="D69" s="63"/>
      <c r="F69" s="63"/>
      <c r="H69" s="63"/>
      <c r="I69" s="63"/>
      <c r="J69" s="63"/>
      <c r="K69" s="62"/>
      <c r="L69" s="62"/>
      <c r="M69" s="63"/>
      <c r="N69" s="63"/>
      <c r="O69" s="63"/>
      <c r="P69" s="63"/>
      <c r="Q69" s="63"/>
      <c r="R69" s="38"/>
      <c r="S69" s="242"/>
      <c r="T69" s="230"/>
      <c r="U69" s="38"/>
      <c r="V69" s="3"/>
      <c r="W69" s="74"/>
      <c r="X69" s="61"/>
      <c r="Y69" s="63"/>
      <c r="Z69" s="127"/>
    </row>
    <row r="70" spans="1:26" x14ac:dyDescent="0.2">
      <c r="A70" s="6" t="s">
        <v>43</v>
      </c>
      <c r="B70" s="6"/>
      <c r="C70" s="29"/>
      <c r="D70" s="3">
        <v>12119177.039999999</v>
      </c>
      <c r="E70" s="28"/>
      <c r="F70" s="3">
        <f>(11517869-1619600)*F6</f>
        <v>8908442.0999999996</v>
      </c>
      <c r="H70" s="3">
        <v>0</v>
      </c>
      <c r="I70" s="3">
        <f>J70-H70</f>
        <v>5498759</v>
      </c>
      <c r="J70" s="3">
        <v>5498759</v>
      </c>
      <c r="K70" s="2"/>
      <c r="L70" s="3">
        <f>$H70*$L$4</f>
        <v>0</v>
      </c>
      <c r="M70" s="3">
        <f>$I70*$M$4</f>
        <v>5223821.05</v>
      </c>
      <c r="N70" s="3"/>
      <c r="O70" s="3">
        <f>M70+L70</f>
        <v>5223821.05</v>
      </c>
      <c r="P70" s="3"/>
      <c r="Q70" s="3">
        <f>D70-F70+O70</f>
        <v>8434555.9899999984</v>
      </c>
      <c r="R70" s="30"/>
      <c r="S70" s="129">
        <f>3135303*1.06</f>
        <v>3323421.18</v>
      </c>
      <c r="T70" s="228">
        <v>2504649</v>
      </c>
      <c r="U70" s="30"/>
      <c r="V70" s="3">
        <f>S70-T70+V71</f>
        <v>818772.18000000017</v>
      </c>
      <c r="X70" s="9">
        <f>Q70-V70+W70</f>
        <v>7615783.8099999987</v>
      </c>
      <c r="Y70" s="3"/>
      <c r="Z70" s="10">
        <f>6%</f>
        <v>0.06</v>
      </c>
    </row>
    <row r="71" spans="1:26" s="29" customFormat="1" ht="11.25" x14ac:dyDescent="0.2">
      <c r="A71" s="6"/>
      <c r="B71" s="6"/>
      <c r="D71" s="66">
        <f>SUM(D29:D70)+D20</f>
        <v>233502579.27999997</v>
      </c>
      <c r="F71" s="66">
        <f>SUM(F29:F70)+F20</f>
        <v>226470021.7825</v>
      </c>
      <c r="H71" s="66">
        <f>SUM(H29:H70)+H20</f>
        <v>94374364</v>
      </c>
      <c r="I71" s="66">
        <f>SUM(I29:I70)+I20</f>
        <v>113765021</v>
      </c>
      <c r="J71" s="66">
        <f>SUM(J29:J70)+J20</f>
        <v>208139385</v>
      </c>
      <c r="K71" s="6"/>
      <c r="L71" s="66">
        <f>SUM(L29:L70,L20)</f>
        <v>92486876.719999999</v>
      </c>
      <c r="M71" s="66">
        <f>SUM(M29:M70,M20)</f>
        <v>108115286.44999999</v>
      </c>
      <c r="N71" s="66"/>
      <c r="O71" s="66">
        <f>M71+L71</f>
        <v>200602163.16999999</v>
      </c>
      <c r="P71" s="66"/>
      <c r="Q71" s="66">
        <f>D71-F71+O71</f>
        <v>207634720.66749996</v>
      </c>
      <c r="R71" s="222"/>
      <c r="S71" s="227"/>
      <c r="T71" s="241"/>
      <c r="U71" s="222"/>
      <c r="V71" s="66"/>
      <c r="W71" s="78"/>
      <c r="X71" s="122"/>
      <c r="Y71" s="66"/>
      <c r="Z71" s="136"/>
    </row>
    <row r="72" spans="1:26" hidden="1" x14ac:dyDescent="0.2">
      <c r="A72" s="6"/>
      <c r="B72" s="73" t="s">
        <v>49</v>
      </c>
      <c r="C72" s="29"/>
      <c r="D72" s="51"/>
      <c r="E72" s="28"/>
      <c r="H72" s="3"/>
      <c r="I72" s="3"/>
      <c r="K72" s="2"/>
      <c r="O72" s="3">
        <f>M72+L72</f>
        <v>0</v>
      </c>
      <c r="R72" s="2"/>
      <c r="X72" s="9"/>
    </row>
    <row r="73" spans="1:26" hidden="1" x14ac:dyDescent="0.2">
      <c r="A73" s="6"/>
      <c r="B73" s="6"/>
      <c r="C73" s="29"/>
      <c r="D73" s="52"/>
      <c r="E73" s="28"/>
      <c r="F73" s="3"/>
      <c r="H73" s="3"/>
      <c r="I73" s="3"/>
      <c r="J73" s="3"/>
      <c r="K73" s="2"/>
      <c r="O73" s="3">
        <f>M73+L73</f>
        <v>0</v>
      </c>
      <c r="P73" s="3"/>
      <c r="Q73" s="3"/>
      <c r="R73" s="3"/>
      <c r="S73" s="129"/>
      <c r="T73" s="137"/>
      <c r="U73" s="3"/>
      <c r="V73" s="3"/>
      <c r="X73" s="9"/>
      <c r="Y73" s="3"/>
      <c r="Z73" s="10"/>
    </row>
    <row r="74" spans="1:26" x14ac:dyDescent="0.2">
      <c r="A74" s="6" t="s">
        <v>1</v>
      </c>
      <c r="B74" s="6"/>
      <c r="C74" s="29"/>
      <c r="D74" s="52"/>
      <c r="E74" s="28"/>
      <c r="F74" s="3"/>
      <c r="H74" s="3"/>
      <c r="I74" s="3"/>
      <c r="J74" s="3"/>
      <c r="K74" s="2"/>
      <c r="O74" s="3"/>
      <c r="P74" s="3"/>
      <c r="Q74" s="3"/>
      <c r="R74" s="3"/>
      <c r="S74" s="129"/>
      <c r="T74" s="137"/>
      <c r="U74" s="3"/>
      <c r="V74" s="3"/>
      <c r="X74" s="9"/>
      <c r="Y74" s="3"/>
      <c r="Z74" s="10"/>
    </row>
    <row r="75" spans="1:26" x14ac:dyDescent="0.2">
      <c r="A75" s="29" t="s">
        <v>1</v>
      </c>
      <c r="B75" s="29"/>
      <c r="C75" s="29"/>
      <c r="D75" s="30"/>
      <c r="E75" s="28"/>
      <c r="F75" s="30"/>
      <c r="H75" s="3"/>
      <c r="I75" s="3"/>
      <c r="J75" s="3" t="b">
        <f>J71=I71+H71</f>
        <v>1</v>
      </c>
      <c r="K75" s="2"/>
      <c r="O75" s="3"/>
      <c r="P75" s="3"/>
      <c r="Q75" s="3" t="b">
        <f>Q71=SUM(Q29:Q70)+Q20</f>
        <v>1</v>
      </c>
      <c r="R75" s="3"/>
      <c r="S75" s="129"/>
      <c r="T75" s="137"/>
      <c r="U75" s="3"/>
      <c r="V75" s="3"/>
      <c r="X75" s="9"/>
      <c r="Y75" s="3"/>
      <c r="Z75" s="10"/>
    </row>
    <row r="76" spans="1:26" x14ac:dyDescent="0.2">
      <c r="A76" s="116" t="s">
        <v>1</v>
      </c>
      <c r="H76" s="3"/>
      <c r="I76" s="3"/>
      <c r="K76" s="2"/>
      <c r="O76" s="3"/>
      <c r="R76" s="2"/>
    </row>
    <row r="77" spans="1:26" x14ac:dyDescent="0.2">
      <c r="H77" s="3"/>
      <c r="I77" s="3"/>
      <c r="K77" s="2"/>
      <c r="O77" s="3"/>
      <c r="R77" s="2"/>
    </row>
    <row r="78" spans="1:26" x14ac:dyDescent="0.2">
      <c r="O78" s="3"/>
    </row>
    <row r="79" spans="1:26" x14ac:dyDescent="0.2">
      <c r="O79" s="3"/>
    </row>
    <row r="80" spans="1:26" x14ac:dyDescent="0.2">
      <c r="O80" s="3"/>
    </row>
    <row r="81" spans="15:15" x14ac:dyDescent="0.2">
      <c r="O81" s="3"/>
    </row>
    <row r="82" spans="15:15" x14ac:dyDescent="0.2">
      <c r="O82" s="3"/>
    </row>
    <row r="83" spans="15:15" x14ac:dyDescent="0.2">
      <c r="O83" s="3"/>
    </row>
    <row r="84" spans="15:15" x14ac:dyDescent="0.2">
      <c r="O84" s="3"/>
    </row>
  </sheetData>
  <phoneticPr fontId="1" type="noConversion"/>
  <printOptions horizontalCentered="1" gridLines="1"/>
  <pageMargins left="0.15" right="0.15" top="0.75" bottom="0.75" header="0.5" footer="0.5"/>
  <pageSetup scale="50" orientation="landscape" r:id="rId1"/>
  <headerFooter alignWithMargins="0">
    <oddFooter>&amp;R&amp;8&amp;Z
&amp;F\&amp;A
&amp;D&amp;T</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8"/>
  <sheetViews>
    <sheetView zoomScaleNormal="100" workbookViewId="0">
      <pane xSplit="2" ySplit="4" topLeftCell="C41" activePane="bottomRight" state="frozen"/>
      <selection pane="topRight" activeCell="C1" sqref="C1"/>
      <selection pane="bottomLeft" activeCell="A5" sqref="A5"/>
      <selection pane="bottomRight" activeCell="A68" sqref="A68"/>
    </sheetView>
  </sheetViews>
  <sheetFormatPr defaultColWidth="9.140625" defaultRowHeight="12.75" x14ac:dyDescent="0.2"/>
  <cols>
    <col min="1" max="1" width="21.140625" style="6" customWidth="1"/>
    <col min="2" max="2" width="13" style="29" customWidth="1"/>
    <col min="3" max="3" width="0.85546875" style="29" customWidth="1"/>
    <col min="4" max="4" width="15.140625" style="138" bestFit="1" customWidth="1"/>
    <col min="5" max="5" width="1.5703125" style="139" customWidth="1"/>
    <col min="6" max="6" width="12.7109375" style="138" customWidth="1"/>
    <col min="7" max="7" width="2.28515625" style="139" customWidth="1"/>
    <col min="8" max="8" width="14.42578125" style="138" bestFit="1" customWidth="1"/>
    <col min="9" max="9" width="5.7109375" style="142" customWidth="1"/>
    <col min="10" max="10" width="19.5703125" style="146" bestFit="1" customWidth="1"/>
    <col min="11" max="11" width="0" style="139" hidden="1" customWidth="1"/>
    <col min="12" max="12" width="3.28515625" style="139" customWidth="1"/>
    <col min="13" max="13" width="16.28515625" style="138" customWidth="1"/>
    <col min="14" max="14" width="0.7109375" style="139" customWidth="1"/>
    <col min="15" max="15" width="15.85546875" style="138" customWidth="1"/>
    <col min="16" max="16" width="1" style="139" customWidth="1"/>
    <col min="17" max="17" width="20.85546875" style="138" customWidth="1"/>
    <col min="18" max="18" width="4.5703125" style="139" customWidth="1"/>
    <col min="19" max="19" width="14.7109375" style="166" bestFit="1" customWidth="1"/>
    <col min="20" max="20" width="0.85546875" style="139" customWidth="1"/>
    <col min="21" max="21" width="20.42578125" style="138" bestFit="1" customWidth="1"/>
    <col min="22" max="22" width="9.140625" style="28"/>
    <col min="23" max="23" width="10.7109375" style="28" bestFit="1" customWidth="1"/>
    <col min="24" max="24" width="9.140625" style="28"/>
    <col min="25" max="25" width="10.28515625" style="28" bestFit="1" customWidth="1"/>
    <col min="26" max="16384" width="9.140625" style="28"/>
  </cols>
  <sheetData>
    <row r="1" spans="1:22" x14ac:dyDescent="0.2">
      <c r="A1" s="6" t="s">
        <v>144</v>
      </c>
      <c r="D1" s="138" t="s">
        <v>1</v>
      </c>
      <c r="F1" s="140" t="s">
        <v>2</v>
      </c>
      <c r="G1" s="141"/>
      <c r="H1" s="140"/>
      <c r="J1" s="143" t="s">
        <v>3</v>
      </c>
      <c r="M1" s="144" t="s">
        <v>4</v>
      </c>
      <c r="Q1" s="143" t="s">
        <v>5</v>
      </c>
      <c r="S1" s="145"/>
      <c r="U1" s="146"/>
    </row>
    <row r="2" spans="1:22" x14ac:dyDescent="0.2">
      <c r="A2" s="22" t="s">
        <v>6</v>
      </c>
      <c r="B2" s="45"/>
      <c r="C2" s="45"/>
      <c r="D2" s="147" t="s">
        <v>9</v>
      </c>
      <c r="E2" s="148"/>
      <c r="F2" s="149" t="s">
        <v>10</v>
      </c>
      <c r="G2" s="150"/>
      <c r="H2" s="151" t="s">
        <v>11</v>
      </c>
      <c r="I2" s="152"/>
      <c r="J2" s="147" t="s">
        <v>12</v>
      </c>
      <c r="K2" s="148" t="s">
        <v>13</v>
      </c>
      <c r="L2" s="148"/>
      <c r="M2" s="153" t="s">
        <v>14</v>
      </c>
      <c r="Q2" s="143" t="s">
        <v>15</v>
      </c>
      <c r="S2" s="145" t="s">
        <v>67</v>
      </c>
      <c r="U2" s="143" t="s">
        <v>16</v>
      </c>
    </row>
    <row r="3" spans="1:22" x14ac:dyDescent="0.2">
      <c r="A3" s="22"/>
      <c r="B3" s="45"/>
      <c r="C3" s="45"/>
      <c r="D3" s="147" t="s">
        <v>21</v>
      </c>
      <c r="E3" s="148"/>
      <c r="F3" s="149" t="s">
        <v>22</v>
      </c>
      <c r="G3" s="150"/>
      <c r="H3" s="151" t="s">
        <v>23</v>
      </c>
      <c r="I3" s="152"/>
      <c r="J3" s="147" t="s">
        <v>24</v>
      </c>
      <c r="K3" s="148" t="s">
        <v>25</v>
      </c>
      <c r="L3" s="148"/>
      <c r="M3" s="144" t="s">
        <v>26</v>
      </c>
      <c r="O3" s="143" t="s">
        <v>27</v>
      </c>
      <c r="Q3" s="143" t="s">
        <v>26</v>
      </c>
      <c r="S3" s="145" t="s">
        <v>10</v>
      </c>
      <c r="U3" s="143" t="s">
        <v>10</v>
      </c>
    </row>
    <row r="4" spans="1:22" s="49" customFormat="1" x14ac:dyDescent="0.2">
      <c r="A4" s="23"/>
      <c r="B4" s="48"/>
      <c r="C4" s="48"/>
      <c r="D4" s="154"/>
      <c r="E4" s="155"/>
      <c r="F4" s="156"/>
      <c r="G4" s="157"/>
      <c r="H4" s="158"/>
      <c r="I4" s="159"/>
      <c r="J4" s="160" t="s">
        <v>145</v>
      </c>
      <c r="K4" s="161" t="s">
        <v>30</v>
      </c>
      <c r="L4" s="161"/>
      <c r="M4" s="162" t="s">
        <v>21</v>
      </c>
      <c r="N4" s="163"/>
      <c r="O4" s="158"/>
      <c r="P4" s="163"/>
      <c r="Q4" s="164" t="s">
        <v>21</v>
      </c>
      <c r="R4" s="163"/>
      <c r="S4" s="165" t="s">
        <v>145</v>
      </c>
      <c r="T4" s="163"/>
      <c r="U4" s="164" t="s">
        <v>31</v>
      </c>
    </row>
    <row r="5" spans="1:22" x14ac:dyDescent="0.2">
      <c r="A5" s="60" t="s">
        <v>62</v>
      </c>
      <c r="B5" s="35"/>
      <c r="C5" s="35"/>
      <c r="D5" s="167">
        <f>'Revenue BreakOut'!X12</f>
        <v>39826237.269999996</v>
      </c>
      <c r="E5" s="168"/>
      <c r="F5" s="173">
        <v>-34000000</v>
      </c>
      <c r="G5" s="169"/>
      <c r="H5" s="167">
        <f>SUM(D5:F5)</f>
        <v>5826237.2699999958</v>
      </c>
      <c r="I5" s="170"/>
      <c r="J5" s="171"/>
      <c r="K5" s="172"/>
      <c r="L5" s="172"/>
      <c r="M5" s="173">
        <f>H5+J5</f>
        <v>5826237.2699999958</v>
      </c>
      <c r="N5" s="168"/>
      <c r="O5" s="167"/>
      <c r="P5" s="168"/>
      <c r="Q5" s="173">
        <f>H5+O5</f>
        <v>5826237.2699999958</v>
      </c>
      <c r="R5" s="168"/>
      <c r="S5" s="174"/>
      <c r="T5" s="168"/>
      <c r="U5" s="175">
        <f>Q5-S5</f>
        <v>5826237.2699999958</v>
      </c>
    </row>
    <row r="6" spans="1:22" x14ac:dyDescent="0.2">
      <c r="A6" s="79"/>
      <c r="B6" s="35"/>
      <c r="C6" s="35"/>
      <c r="D6" s="167"/>
      <c r="E6" s="168"/>
      <c r="F6" s="173"/>
      <c r="G6" s="169"/>
      <c r="H6" s="167"/>
      <c r="I6" s="170"/>
      <c r="J6" s="171"/>
      <c r="K6" s="172"/>
      <c r="L6" s="172"/>
      <c r="M6" s="173"/>
      <c r="N6" s="168"/>
      <c r="O6" s="167"/>
      <c r="P6" s="168"/>
      <c r="Q6" s="173"/>
      <c r="R6" s="168"/>
      <c r="S6" s="174"/>
      <c r="T6" s="168"/>
      <c r="U6" s="175"/>
    </row>
    <row r="7" spans="1:22" x14ac:dyDescent="0.2">
      <c r="A7" s="6" t="s">
        <v>64</v>
      </c>
      <c r="D7" s="167">
        <f>'Revenue BreakOut'!X14</f>
        <v>42625384.670000002</v>
      </c>
      <c r="E7" s="168"/>
      <c r="F7" s="173">
        <f>F5</f>
        <v>-34000000</v>
      </c>
      <c r="G7" s="168"/>
      <c r="H7" s="167">
        <f>SUM(D7:F7)</f>
        <v>8625384.6700000018</v>
      </c>
      <c r="I7" s="176"/>
      <c r="J7" s="177"/>
      <c r="K7" s="168"/>
      <c r="L7" s="168"/>
      <c r="M7" s="173">
        <f>H7+J7</f>
        <v>8625384.6700000018</v>
      </c>
      <c r="N7" s="168"/>
      <c r="O7" s="167">
        <v>0</v>
      </c>
      <c r="P7" s="168"/>
      <c r="Q7" s="173">
        <f t="shared" ref="Q7" si="0">H7+O7</f>
        <v>8625384.6700000018</v>
      </c>
      <c r="R7" s="168"/>
      <c r="S7" s="178"/>
      <c r="T7" s="168"/>
      <c r="U7" s="175">
        <f t="shared" ref="U7:U17" si="1">Q7-S7</f>
        <v>8625384.6700000018</v>
      </c>
    </row>
    <row r="8" spans="1:22" x14ac:dyDescent="0.2">
      <c r="A8" s="22"/>
      <c r="B8" s="22"/>
      <c r="C8" s="22"/>
      <c r="D8" s="167"/>
      <c r="E8" s="177"/>
      <c r="F8" s="173"/>
      <c r="G8" s="247"/>
      <c r="H8" s="167"/>
      <c r="I8" s="180"/>
      <c r="J8" s="180"/>
      <c r="K8" s="171"/>
      <c r="L8" s="171"/>
      <c r="M8" s="181"/>
      <c r="N8" s="167"/>
      <c r="O8" s="167"/>
      <c r="P8" s="167"/>
      <c r="Q8" s="173"/>
      <c r="R8" s="167"/>
      <c r="S8" s="177"/>
      <c r="T8" s="167"/>
      <c r="U8" s="175"/>
    </row>
    <row r="9" spans="1:22" x14ac:dyDescent="0.2">
      <c r="A9" s="60" t="s">
        <v>135</v>
      </c>
      <c r="B9" s="22"/>
      <c r="C9" s="22"/>
      <c r="D9" s="167">
        <f>'Revenue BreakOut'!X16</f>
        <v>43704448.638499975</v>
      </c>
      <c r="E9" s="177"/>
      <c r="F9" s="173">
        <f>F5</f>
        <v>-34000000</v>
      </c>
      <c r="G9" s="247"/>
      <c r="H9" s="167">
        <f>SUM(D9:F9)</f>
        <v>9704448.6384999752</v>
      </c>
      <c r="I9" s="180"/>
      <c r="J9" s="180"/>
      <c r="K9" s="171"/>
      <c r="L9" s="171"/>
      <c r="M9" s="173">
        <f>H9+J9</f>
        <v>9704448.6384999752</v>
      </c>
      <c r="N9" s="167"/>
      <c r="O9" s="167">
        <v>0</v>
      </c>
      <c r="P9" s="167"/>
      <c r="Q9" s="173">
        <f>H9+O9</f>
        <v>9704448.6384999752</v>
      </c>
      <c r="R9" s="167"/>
      <c r="S9" s="177"/>
      <c r="T9" s="167"/>
      <c r="U9" s="175">
        <f t="shared" si="1"/>
        <v>9704448.6384999752</v>
      </c>
    </row>
    <row r="10" spans="1:22" x14ac:dyDescent="0.2">
      <c r="A10" s="22"/>
      <c r="B10" s="22"/>
      <c r="C10" s="22"/>
      <c r="D10" s="167"/>
      <c r="E10" s="177"/>
      <c r="F10" s="173"/>
      <c r="G10" s="247"/>
      <c r="H10" s="167"/>
      <c r="I10" s="180"/>
      <c r="J10" s="180"/>
      <c r="K10" s="171"/>
      <c r="L10" s="171"/>
      <c r="M10" s="181"/>
      <c r="N10" s="167"/>
      <c r="O10" s="167"/>
      <c r="P10" s="167"/>
      <c r="Q10" s="173" t="s">
        <v>1</v>
      </c>
      <c r="R10" s="167"/>
      <c r="S10" s="177"/>
      <c r="T10" s="167"/>
      <c r="U10" s="175"/>
    </row>
    <row r="11" spans="1:22" s="2" customFormat="1" x14ac:dyDescent="0.2">
      <c r="A11" s="6" t="s">
        <v>136</v>
      </c>
      <c r="D11" s="167">
        <f>'Revenue BreakOut'!X18</f>
        <v>43557728.61999999</v>
      </c>
      <c r="E11" s="167"/>
      <c r="F11" s="173">
        <f>F5</f>
        <v>-34000000</v>
      </c>
      <c r="G11" s="182"/>
      <c r="H11" s="167">
        <f>SUM(D11:F11)</f>
        <v>9557728.6199999899</v>
      </c>
      <c r="I11" s="248"/>
      <c r="J11" s="248"/>
      <c r="K11" s="247"/>
      <c r="L11" s="247"/>
      <c r="M11" s="173">
        <f>H11+J11</f>
        <v>9557728.6199999899</v>
      </c>
      <c r="N11" s="167"/>
      <c r="O11" s="167">
        <v>0</v>
      </c>
      <c r="P11" s="167"/>
      <c r="Q11" s="173">
        <f>H11+O11</f>
        <v>9557728.6199999899</v>
      </c>
      <c r="R11" s="177"/>
      <c r="S11" s="177"/>
      <c r="T11" s="167"/>
      <c r="U11" s="175">
        <f t="shared" si="1"/>
        <v>9557728.6199999899</v>
      </c>
    </row>
    <row r="12" spans="1:22" x14ac:dyDescent="0.2">
      <c r="A12" s="29"/>
      <c r="B12" s="28"/>
      <c r="C12" s="28"/>
      <c r="D12" s="167"/>
      <c r="E12" s="167"/>
      <c r="F12" s="175"/>
      <c r="G12" s="182"/>
      <c r="H12" s="167"/>
      <c r="I12" s="248"/>
      <c r="J12" s="248"/>
      <c r="K12" s="247"/>
      <c r="L12" s="247"/>
      <c r="M12" s="173"/>
      <c r="N12" s="167"/>
      <c r="O12" s="167"/>
      <c r="P12" s="167"/>
      <c r="Q12" s="173" t="s">
        <v>1</v>
      </c>
      <c r="R12" s="177"/>
      <c r="S12" s="177"/>
      <c r="T12" s="167"/>
      <c r="U12" s="175"/>
    </row>
    <row r="13" spans="1:22" s="2" customFormat="1" x14ac:dyDescent="0.2">
      <c r="A13" s="6" t="s">
        <v>137</v>
      </c>
      <c r="B13" s="28" t="s">
        <v>1</v>
      </c>
      <c r="C13" s="28"/>
      <c r="D13" s="167">
        <f>'Revenue BreakOut'!X20</f>
        <v>42990387.187499985</v>
      </c>
      <c r="E13" s="167"/>
      <c r="F13" s="173">
        <f>F5</f>
        <v>-34000000</v>
      </c>
      <c r="G13" s="182"/>
      <c r="H13" s="167">
        <f>SUM(D13:G13)</f>
        <v>8990387.1874999851</v>
      </c>
      <c r="I13" s="247"/>
      <c r="J13" s="248"/>
      <c r="K13" s="247"/>
      <c r="L13" s="247"/>
      <c r="M13" s="173">
        <f>H13+J13</f>
        <v>8990387.1874999851</v>
      </c>
      <c r="N13" s="167"/>
      <c r="O13" s="167">
        <v>0</v>
      </c>
      <c r="P13" s="167"/>
      <c r="Q13" s="173">
        <f t="shared" ref="Q13:Q19" si="2">H13+O13</f>
        <v>8990387.1874999851</v>
      </c>
      <c r="R13" s="177"/>
      <c r="S13" s="177"/>
      <c r="T13" s="167"/>
      <c r="U13" s="175">
        <f t="shared" si="1"/>
        <v>8990387.1874999851</v>
      </c>
      <c r="V13" s="6"/>
    </row>
    <row r="14" spans="1:22" x14ac:dyDescent="0.2">
      <c r="A14" s="29"/>
      <c r="B14" s="28"/>
      <c r="C14" s="28"/>
      <c r="D14" s="168"/>
      <c r="E14" s="168"/>
      <c r="F14" s="185"/>
      <c r="G14" s="183"/>
      <c r="H14" s="168"/>
      <c r="I14" s="176"/>
      <c r="J14" s="176"/>
      <c r="K14" s="169"/>
      <c r="L14" s="169"/>
      <c r="M14" s="184"/>
      <c r="N14" s="168"/>
      <c r="O14" s="168"/>
      <c r="P14" s="168"/>
      <c r="Q14" s="184" t="s">
        <v>1</v>
      </c>
      <c r="R14" s="179"/>
      <c r="S14" s="179"/>
      <c r="T14" s="168"/>
      <c r="U14" s="185"/>
    </row>
    <row r="15" spans="1:22" x14ac:dyDescent="0.2">
      <c r="A15" s="6" t="s">
        <v>138</v>
      </c>
      <c r="B15" s="6"/>
      <c r="C15" s="2"/>
      <c r="D15" s="167">
        <f>'Revenue BreakOut'!X22</f>
        <v>42179283.850000009</v>
      </c>
      <c r="E15" s="167"/>
      <c r="F15" s="173">
        <f>F5</f>
        <v>-34000000</v>
      </c>
      <c r="G15" s="182"/>
      <c r="H15" s="186">
        <f>SUM(D15:G15)</f>
        <v>8179283.8500000089</v>
      </c>
      <c r="I15" s="249"/>
      <c r="J15" s="249"/>
      <c r="K15" s="249"/>
      <c r="L15" s="250"/>
      <c r="M15" s="173">
        <f>H15+J15</f>
        <v>8179283.8500000089</v>
      </c>
      <c r="N15" s="167"/>
      <c r="O15" s="167">
        <v>0</v>
      </c>
      <c r="P15" s="186"/>
      <c r="Q15" s="173">
        <f t="shared" si="2"/>
        <v>8179283.8500000089</v>
      </c>
      <c r="R15" s="177"/>
      <c r="S15" s="177"/>
      <c r="T15" s="167"/>
      <c r="U15" s="175">
        <f t="shared" si="1"/>
        <v>8179283.8500000089</v>
      </c>
    </row>
    <row r="16" spans="1:22" x14ac:dyDescent="0.2">
      <c r="B16" s="251"/>
      <c r="C16" s="2"/>
      <c r="D16" s="167"/>
      <c r="E16" s="167"/>
      <c r="F16" s="173"/>
      <c r="G16" s="182"/>
      <c r="H16" s="186"/>
      <c r="I16" s="249"/>
      <c r="J16" s="249"/>
      <c r="K16" s="249"/>
      <c r="L16" s="249"/>
      <c r="M16" s="252"/>
      <c r="N16" s="167"/>
      <c r="O16" s="167"/>
      <c r="P16" s="167"/>
      <c r="Q16" s="173" t="s">
        <v>1</v>
      </c>
      <c r="R16" s="177"/>
      <c r="S16" s="177"/>
      <c r="T16" s="167"/>
      <c r="U16" s="175"/>
    </row>
    <row r="17" spans="1:25" s="2" customFormat="1" x14ac:dyDescent="0.2">
      <c r="A17" s="6" t="s">
        <v>139</v>
      </c>
      <c r="B17" s="6"/>
      <c r="D17" s="167">
        <f>'Revenue BreakOut'!X24</f>
        <v>41872799.00999999</v>
      </c>
      <c r="E17" s="167"/>
      <c r="F17" s="173">
        <f>F5</f>
        <v>-34000000</v>
      </c>
      <c r="G17" s="182"/>
      <c r="H17" s="186">
        <f>SUM(D17:G17)</f>
        <v>7872799.0099999905</v>
      </c>
      <c r="I17" s="249"/>
      <c r="J17" s="250"/>
      <c r="K17" s="249"/>
      <c r="L17" s="250"/>
      <c r="M17" s="173">
        <f>H17+J17</f>
        <v>7872799.0099999905</v>
      </c>
      <c r="N17" s="167"/>
      <c r="O17" s="167">
        <v>0</v>
      </c>
      <c r="P17" s="167"/>
      <c r="Q17" s="173">
        <f t="shared" si="2"/>
        <v>7872799.0099999905</v>
      </c>
      <c r="R17" s="177"/>
      <c r="S17" s="177"/>
      <c r="T17" s="167"/>
      <c r="U17" s="175">
        <f t="shared" si="1"/>
        <v>7872799.0099999905</v>
      </c>
    </row>
    <row r="18" spans="1:25" x14ac:dyDescent="0.2">
      <c r="B18" s="251"/>
      <c r="C18" s="2"/>
      <c r="D18" s="167"/>
      <c r="E18" s="167"/>
      <c r="F18" s="173"/>
      <c r="G18" s="182"/>
      <c r="H18" s="186"/>
      <c r="I18" s="249"/>
      <c r="J18" s="250"/>
      <c r="K18" s="249"/>
      <c r="L18" s="250"/>
      <c r="M18" s="252"/>
      <c r="N18" s="167"/>
      <c r="O18" s="167"/>
      <c r="P18" s="167"/>
      <c r="Q18" s="173" t="s">
        <v>1</v>
      </c>
      <c r="R18" s="177"/>
      <c r="S18" s="177"/>
      <c r="T18" s="167"/>
      <c r="U18" s="175"/>
    </row>
    <row r="19" spans="1:25" x14ac:dyDescent="0.2">
      <c r="A19" s="6" t="s">
        <v>140</v>
      </c>
      <c r="B19" s="2"/>
      <c r="C19" s="2"/>
      <c r="D19" s="167">
        <f>'Revenue BreakOut'!X26</f>
        <v>41334898.709999993</v>
      </c>
      <c r="E19" s="167"/>
      <c r="F19" s="173">
        <f>F5</f>
        <v>-34000000</v>
      </c>
      <c r="G19" s="182"/>
      <c r="H19" s="186">
        <f>SUM(D19:F19)</f>
        <v>7334898.7099999934</v>
      </c>
      <c r="I19" s="249"/>
      <c r="J19" s="249"/>
      <c r="K19" s="249"/>
      <c r="L19" s="250"/>
      <c r="M19" s="173">
        <f>H19+J19</f>
        <v>7334898.7099999934</v>
      </c>
      <c r="N19" s="167"/>
      <c r="O19" s="167">
        <v>0</v>
      </c>
      <c r="P19" s="167"/>
      <c r="Q19" s="173">
        <f t="shared" si="2"/>
        <v>7334898.7099999934</v>
      </c>
      <c r="R19" s="177"/>
      <c r="S19" s="177">
        <v>0</v>
      </c>
      <c r="T19" s="167"/>
      <c r="U19" s="175">
        <f>Q19-S19</f>
        <v>7334898.7099999934</v>
      </c>
      <c r="V19" s="2" t="s">
        <v>1</v>
      </c>
      <c r="W19" s="2"/>
    </row>
    <row r="20" spans="1:25" x14ac:dyDescent="0.2">
      <c r="A20" s="80"/>
      <c r="B20" s="115"/>
      <c r="C20" s="53"/>
      <c r="D20" s="189"/>
      <c r="E20" s="190"/>
      <c r="F20" s="191"/>
      <c r="G20" s="192"/>
      <c r="H20" s="189"/>
      <c r="I20" s="193"/>
      <c r="J20" s="194"/>
      <c r="K20" s="195"/>
      <c r="L20" s="195"/>
      <c r="M20" s="189"/>
      <c r="N20" s="196"/>
      <c r="O20" s="197"/>
      <c r="P20" s="196"/>
      <c r="Q20" s="189"/>
      <c r="R20" s="196"/>
      <c r="S20" s="198"/>
      <c r="T20" s="199"/>
      <c r="U20" s="200"/>
    </row>
    <row r="21" spans="1:25" x14ac:dyDescent="0.2">
      <c r="D21" s="167"/>
      <c r="E21" s="168"/>
      <c r="F21" s="167"/>
      <c r="G21" s="168"/>
      <c r="H21" s="167"/>
      <c r="I21" s="176"/>
      <c r="J21" s="177"/>
      <c r="K21" s="168"/>
      <c r="L21" s="168"/>
      <c r="M21" s="167"/>
      <c r="N21" s="168"/>
      <c r="O21" s="201"/>
      <c r="P21" s="168"/>
      <c r="Q21" s="167"/>
      <c r="R21" s="168"/>
      <c r="S21" s="178"/>
      <c r="T21" s="168"/>
      <c r="U21" s="167"/>
    </row>
    <row r="22" spans="1:25" x14ac:dyDescent="0.2">
      <c r="A22" s="6" t="s">
        <v>32</v>
      </c>
      <c r="D22" s="167">
        <f>'Revenue BreakOut'!X29</f>
        <v>2924373.6299999985</v>
      </c>
      <c r="E22" s="168"/>
      <c r="F22" s="167">
        <f>-(8328840*0.15)</f>
        <v>-1249326</v>
      </c>
      <c r="G22" s="168"/>
      <c r="H22" s="167">
        <f>SUM(D22:F22)</f>
        <v>1675047.6299999985</v>
      </c>
      <c r="I22" s="176"/>
      <c r="J22" s="177"/>
      <c r="K22" s="168"/>
      <c r="L22" s="168"/>
      <c r="M22" s="167">
        <f>SUM(H22:L22)</f>
        <v>1675047.6299999985</v>
      </c>
      <c r="N22" s="168"/>
      <c r="O22" s="167"/>
      <c r="P22" s="168"/>
      <c r="Q22" s="167">
        <f>SUM(M22:P22)</f>
        <v>1675047.6299999985</v>
      </c>
      <c r="R22" s="168"/>
      <c r="S22" s="178">
        <v>0</v>
      </c>
      <c r="T22" s="168"/>
      <c r="U22" s="167">
        <f>Q22-S22</f>
        <v>1675047.6299999985</v>
      </c>
      <c r="Y22" s="31"/>
    </row>
    <row r="23" spans="1:25" x14ac:dyDescent="0.2">
      <c r="D23" s="167" t="s">
        <v>1</v>
      </c>
      <c r="E23" s="187"/>
      <c r="F23" s="186"/>
      <c r="G23" s="187"/>
      <c r="H23" s="186"/>
      <c r="I23" s="202"/>
      <c r="J23" s="203"/>
      <c r="K23" s="187"/>
      <c r="L23" s="187"/>
      <c r="M23" s="186"/>
      <c r="N23" s="187"/>
      <c r="O23" s="186"/>
      <c r="P23" s="187"/>
      <c r="Q23" s="186"/>
      <c r="R23" s="187"/>
      <c r="S23" s="204"/>
      <c r="T23" s="187"/>
      <c r="U23" s="167"/>
      <c r="Y23" s="31"/>
    </row>
    <row r="24" spans="1:25" ht="12.75" customHeight="1" x14ac:dyDescent="0.2">
      <c r="A24" s="6" t="s">
        <v>57</v>
      </c>
      <c r="D24" s="167">
        <f>'Revenue BreakOut'!X31</f>
        <v>5246978.6999999993</v>
      </c>
      <c r="E24" s="187"/>
      <c r="F24" s="167">
        <f>-(4988490*0.15)</f>
        <v>-748273.5</v>
      </c>
      <c r="G24" s="187"/>
      <c r="H24" s="167">
        <f>SUM(D24:F24)</f>
        <v>4498705.1999999993</v>
      </c>
      <c r="I24" s="176"/>
      <c r="J24" s="203"/>
      <c r="K24" s="187"/>
      <c r="L24" s="187"/>
      <c r="M24" s="173" t="s">
        <v>58</v>
      </c>
      <c r="N24" s="168"/>
      <c r="O24" s="173"/>
      <c r="P24" s="187"/>
      <c r="Q24" s="173" t="s">
        <v>58</v>
      </c>
      <c r="R24" s="187"/>
      <c r="S24" s="204"/>
      <c r="T24" s="205"/>
      <c r="U24" s="167"/>
      <c r="Y24" s="31"/>
    </row>
    <row r="25" spans="1:25" s="37" customFormat="1" ht="12.75" customHeight="1" x14ac:dyDescent="0.2">
      <c r="A25" s="65"/>
      <c r="B25" s="36"/>
      <c r="C25" s="32"/>
      <c r="D25" s="206"/>
      <c r="E25" s="207"/>
      <c r="F25" s="208"/>
      <c r="G25" s="207"/>
      <c r="H25" s="206"/>
      <c r="I25" s="209"/>
      <c r="J25" s="208"/>
      <c r="K25" s="207"/>
      <c r="L25" s="207"/>
      <c r="M25" s="206"/>
      <c r="N25" s="210"/>
      <c r="O25" s="211"/>
      <c r="P25" s="207"/>
      <c r="Q25" s="206"/>
      <c r="R25" s="207"/>
      <c r="S25" s="212"/>
      <c r="T25" s="207"/>
      <c r="U25" s="167"/>
      <c r="Y25" s="31"/>
    </row>
    <row r="26" spans="1:25" x14ac:dyDescent="0.2">
      <c r="A26" s="6" t="s">
        <v>33</v>
      </c>
      <c r="D26" s="167">
        <f>'Revenue BreakOut'!X33</f>
        <v>1290368.4900000002</v>
      </c>
      <c r="E26" s="168"/>
      <c r="F26" s="167">
        <f>-(1722031*0.15)</f>
        <v>-258304.65</v>
      </c>
      <c r="G26" s="168"/>
      <c r="H26" s="167">
        <f>SUM(D26:F26)</f>
        <v>1032063.8400000002</v>
      </c>
      <c r="I26" s="176"/>
      <c r="J26" s="177"/>
      <c r="K26" s="168"/>
      <c r="L26" s="168"/>
      <c r="M26" s="167">
        <f>SUM(H26:L26)</f>
        <v>1032063.8400000002</v>
      </c>
      <c r="N26" s="168"/>
      <c r="O26" s="167"/>
      <c r="P26" s="168"/>
      <c r="Q26" s="167">
        <f>SUM(M26:P26)</f>
        <v>1032063.8400000002</v>
      </c>
      <c r="R26" s="168"/>
      <c r="S26" s="178">
        <v>0</v>
      </c>
      <c r="T26" s="168"/>
      <c r="U26" s="167">
        <f t="shared" ref="U26:U60" si="3">Q26-S26</f>
        <v>1032063.8400000002</v>
      </c>
      <c r="Y26" s="31"/>
    </row>
    <row r="27" spans="1:25" s="32" customFormat="1" x14ac:dyDescent="0.2">
      <c r="A27" s="65"/>
      <c r="B27" s="36"/>
      <c r="D27" s="213"/>
      <c r="E27" s="214"/>
      <c r="F27" s="213"/>
      <c r="G27" s="214"/>
      <c r="H27" s="213"/>
      <c r="I27" s="215"/>
      <c r="J27" s="213"/>
      <c r="K27" s="214"/>
      <c r="L27" s="214"/>
      <c r="M27" s="213"/>
      <c r="N27" s="214"/>
      <c r="O27" s="213"/>
      <c r="P27" s="214"/>
      <c r="Q27" s="213"/>
      <c r="R27" s="214"/>
      <c r="S27" s="216"/>
      <c r="T27" s="214"/>
      <c r="U27" s="167"/>
      <c r="Y27" s="31"/>
    </row>
    <row r="28" spans="1:25" x14ac:dyDescent="0.2">
      <c r="A28" s="6" t="s">
        <v>34</v>
      </c>
      <c r="D28" s="167">
        <f>'Revenue BreakOut'!X35</f>
        <v>1319750.7400000002</v>
      </c>
      <c r="E28" s="168"/>
      <c r="F28" s="167">
        <f>-(2023706*0.15)</f>
        <v>-303555.89999999997</v>
      </c>
      <c r="G28" s="168"/>
      <c r="H28" s="167">
        <f>SUM(D28:F28)</f>
        <v>1016194.8400000003</v>
      </c>
      <c r="I28" s="176"/>
      <c r="J28" s="177"/>
      <c r="K28" s="168"/>
      <c r="L28" s="187"/>
      <c r="M28" s="167">
        <f>SUM(H28:L28)</f>
        <v>1016194.8400000003</v>
      </c>
      <c r="N28" s="168"/>
      <c r="O28" s="167"/>
      <c r="P28" s="168"/>
      <c r="Q28" s="167">
        <f>SUM(M28:P28)</f>
        <v>1016194.8400000003</v>
      </c>
      <c r="R28" s="168"/>
      <c r="S28" s="178">
        <v>0</v>
      </c>
      <c r="T28" s="168"/>
      <c r="U28" s="167">
        <f t="shared" si="3"/>
        <v>1016194.8400000003</v>
      </c>
      <c r="Y28" s="31"/>
    </row>
    <row r="29" spans="1:25" s="37" customFormat="1" x14ac:dyDescent="0.2">
      <c r="A29" s="253"/>
      <c r="B29" s="253"/>
      <c r="C29" s="32"/>
      <c r="D29" s="206"/>
      <c r="E29" s="210"/>
      <c r="F29" s="206"/>
      <c r="G29" s="210"/>
      <c r="H29" s="206"/>
      <c r="I29" s="209"/>
      <c r="J29" s="177"/>
      <c r="K29" s="210"/>
      <c r="L29" s="210"/>
      <c r="M29" s="206"/>
      <c r="N29" s="210"/>
      <c r="O29" s="206"/>
      <c r="P29" s="210"/>
      <c r="Q29" s="206"/>
      <c r="R29" s="210"/>
      <c r="S29" s="217"/>
      <c r="T29" s="210"/>
      <c r="U29" s="167"/>
      <c r="Y29" s="31"/>
    </row>
    <row r="30" spans="1:25" x14ac:dyDescent="0.2">
      <c r="A30" s="6" t="s">
        <v>35</v>
      </c>
      <c r="D30" s="167">
        <f>'Revenue BreakOut'!X37</f>
        <v>1260167.93</v>
      </c>
      <c r="E30" s="168"/>
      <c r="F30" s="167">
        <f>-(5380330*0.15)</f>
        <v>-807049.5</v>
      </c>
      <c r="G30" s="168"/>
      <c r="H30" s="167">
        <f>SUM(D30:F30)</f>
        <v>453118.42999999993</v>
      </c>
      <c r="I30" s="176"/>
      <c r="J30" s="177"/>
      <c r="K30" s="168"/>
      <c r="L30" s="168"/>
      <c r="M30" s="167">
        <f>SUM(H30:L30)</f>
        <v>453118.42999999993</v>
      </c>
      <c r="N30" s="168"/>
      <c r="O30" s="167"/>
      <c r="P30" s="168"/>
      <c r="Q30" s="167">
        <f>SUM(M30:P30)</f>
        <v>453118.42999999993</v>
      </c>
      <c r="R30" s="168"/>
      <c r="S30" s="178">
        <v>0</v>
      </c>
      <c r="T30" s="168"/>
      <c r="U30" s="167">
        <f t="shared" si="3"/>
        <v>453118.42999999993</v>
      </c>
      <c r="Y30" s="31"/>
    </row>
    <row r="31" spans="1:25" x14ac:dyDescent="0.2">
      <c r="D31" s="167" t="s">
        <v>1</v>
      </c>
      <c r="E31" s="168"/>
      <c r="F31" s="167"/>
      <c r="G31" s="168"/>
      <c r="H31" s="167"/>
      <c r="I31" s="176"/>
      <c r="J31" s="177"/>
      <c r="K31" s="168"/>
      <c r="L31" s="168"/>
      <c r="M31" s="167"/>
      <c r="N31" s="168"/>
      <c r="O31" s="167"/>
      <c r="P31" s="168"/>
      <c r="Q31" s="167"/>
      <c r="R31" s="168"/>
      <c r="S31" s="178"/>
      <c r="T31" s="168"/>
      <c r="U31" s="167"/>
      <c r="Y31" s="31"/>
    </row>
    <row r="32" spans="1:25" x14ac:dyDescent="0.2">
      <c r="A32" s="6" t="s">
        <v>36</v>
      </c>
      <c r="D32" s="167">
        <f>'Revenue BreakOut'!X39</f>
        <v>113239.44</v>
      </c>
      <c r="E32" s="168"/>
      <c r="F32" s="167">
        <f>-(39080*0.15)</f>
        <v>-5862</v>
      </c>
      <c r="G32" s="168"/>
      <c r="H32" s="167">
        <f>SUM(D32:F32)</f>
        <v>107377.44</v>
      </c>
      <c r="I32" s="176"/>
      <c r="J32" s="177"/>
      <c r="K32" s="168"/>
      <c r="L32" s="168"/>
      <c r="M32" s="167">
        <f>SUM(H32:L32)</f>
        <v>107377.44</v>
      </c>
      <c r="N32" s="168"/>
      <c r="O32" s="167"/>
      <c r="P32" s="168"/>
      <c r="Q32" s="167">
        <f>SUM(M32:P32)</f>
        <v>107377.44</v>
      </c>
      <c r="R32" s="168"/>
      <c r="S32" s="178">
        <v>0</v>
      </c>
      <c r="T32" s="168"/>
      <c r="U32" s="167">
        <f t="shared" si="3"/>
        <v>107377.44</v>
      </c>
      <c r="Y32" s="31"/>
    </row>
    <row r="33" spans="1:25" x14ac:dyDescent="0.2">
      <c r="D33" s="167" t="s">
        <v>1</v>
      </c>
      <c r="E33" s="168"/>
      <c r="F33" s="167"/>
      <c r="G33" s="168"/>
      <c r="H33" s="167"/>
      <c r="I33" s="176"/>
      <c r="J33" s="177"/>
      <c r="K33" s="168"/>
      <c r="L33" s="168"/>
      <c r="M33" s="167"/>
      <c r="N33" s="168"/>
      <c r="O33" s="167"/>
      <c r="P33" s="168"/>
      <c r="Q33" s="167"/>
      <c r="R33" s="168"/>
      <c r="S33" s="178"/>
      <c r="T33" s="168"/>
      <c r="U33" s="167"/>
      <c r="Y33" s="31"/>
    </row>
    <row r="34" spans="1:25" x14ac:dyDescent="0.2">
      <c r="A34" s="6" t="s">
        <v>37</v>
      </c>
      <c r="D34" s="167">
        <f>'Revenue BreakOut'!X41</f>
        <v>1920688.6399999997</v>
      </c>
      <c r="E34" s="168"/>
      <c r="F34" s="167">
        <f>-(1002442*0.15)</f>
        <v>-150366.29999999999</v>
      </c>
      <c r="G34" s="184"/>
      <c r="H34" s="167">
        <f>SUM(D34:F34)</f>
        <v>1770322.3399999996</v>
      </c>
      <c r="I34" s="176"/>
      <c r="J34" s="175"/>
      <c r="K34" s="168"/>
      <c r="L34" s="168"/>
      <c r="M34" s="167">
        <f>SUM(H34:L34)</f>
        <v>1770322.3399999996</v>
      </c>
      <c r="N34" s="168"/>
      <c r="O34" s="167"/>
      <c r="P34" s="168"/>
      <c r="Q34" s="167">
        <f>SUM(M34:P34)</f>
        <v>1770322.3399999996</v>
      </c>
      <c r="R34" s="168"/>
      <c r="S34" s="178">
        <v>0</v>
      </c>
      <c r="T34" s="168"/>
      <c r="U34" s="167">
        <f t="shared" si="3"/>
        <v>1770322.3399999996</v>
      </c>
      <c r="Y34" s="31"/>
    </row>
    <row r="35" spans="1:25" x14ac:dyDescent="0.2">
      <c r="D35" s="167" t="s">
        <v>1</v>
      </c>
      <c r="E35" s="168"/>
      <c r="F35" s="167"/>
      <c r="G35" s="168"/>
      <c r="H35" s="167"/>
      <c r="I35" s="176"/>
      <c r="J35" s="177"/>
      <c r="K35" s="168"/>
      <c r="L35" s="168"/>
      <c r="M35" s="167"/>
      <c r="N35" s="168"/>
      <c r="O35" s="167"/>
      <c r="P35" s="168"/>
      <c r="Q35" s="167"/>
      <c r="R35" s="168"/>
      <c r="S35" s="178"/>
      <c r="T35" s="168"/>
      <c r="U35" s="167"/>
      <c r="Y35" s="31"/>
    </row>
    <row r="36" spans="1:25" x14ac:dyDescent="0.2">
      <c r="A36" s="6" t="s">
        <v>59</v>
      </c>
      <c r="D36" s="167">
        <f>'Revenue BreakOut'!X43</f>
        <v>7723146.2200000007</v>
      </c>
      <c r="E36" s="168"/>
      <c r="F36" s="167">
        <f>-(20819525*0.15)</f>
        <v>-3122928.75</v>
      </c>
      <c r="G36" s="168"/>
      <c r="H36" s="167">
        <f>SUM(D36:F36)</f>
        <v>4600217.4700000007</v>
      </c>
      <c r="I36" s="176"/>
      <c r="J36" s="177"/>
      <c r="K36" s="168"/>
      <c r="L36" s="168"/>
      <c r="M36" s="167">
        <f>SUM(H36:L36)</f>
        <v>4600217.4700000007</v>
      </c>
      <c r="N36" s="184"/>
      <c r="O36" s="173"/>
      <c r="P36" s="184"/>
      <c r="Q36" s="167">
        <f>SUM(M36:P36)</f>
        <v>4600217.4700000007</v>
      </c>
      <c r="R36" s="188"/>
      <c r="S36" s="204">
        <v>0</v>
      </c>
      <c r="T36" s="187"/>
      <c r="U36" s="167">
        <f t="shared" si="3"/>
        <v>4600217.4700000007</v>
      </c>
      <c r="Y36" s="31"/>
    </row>
    <row r="37" spans="1:25" x14ac:dyDescent="0.2">
      <c r="D37" s="167" t="s">
        <v>1</v>
      </c>
      <c r="E37" s="168"/>
      <c r="F37" s="167"/>
      <c r="G37" s="168"/>
      <c r="H37" s="167"/>
      <c r="I37" s="176"/>
      <c r="J37" s="177"/>
      <c r="K37" s="168"/>
      <c r="L37" s="168"/>
      <c r="M37" s="167"/>
      <c r="N37" s="168"/>
      <c r="O37" s="167"/>
      <c r="P37" s="168"/>
      <c r="Q37" s="186"/>
      <c r="R37" s="187"/>
      <c r="S37" s="204"/>
      <c r="T37" s="205"/>
      <c r="U37" s="167"/>
      <c r="Y37" s="31"/>
    </row>
    <row r="38" spans="1:25" x14ac:dyDescent="0.2">
      <c r="A38" s="6" t="s">
        <v>38</v>
      </c>
      <c r="D38" s="167">
        <f>'Revenue BreakOut'!X45</f>
        <v>8130799.3199999966</v>
      </c>
      <c r="E38" s="168"/>
      <c r="F38" s="167">
        <f>-(25203922*0.15)</f>
        <v>-3780588.3</v>
      </c>
      <c r="G38" s="168"/>
      <c r="H38" s="167">
        <f>SUM(D38:F38)</f>
        <v>4350211.0199999968</v>
      </c>
      <c r="I38" s="176"/>
      <c r="J38" s="177"/>
      <c r="K38" s="168"/>
      <c r="L38" s="168"/>
      <c r="M38" s="167">
        <f>SUM(H38:L38)</f>
        <v>4350211.0199999968</v>
      </c>
      <c r="N38" s="168"/>
      <c r="O38" s="167"/>
      <c r="P38" s="168"/>
      <c r="Q38" s="167">
        <f>SUM(M38:P38)</f>
        <v>4350211.0199999968</v>
      </c>
      <c r="R38" s="187"/>
      <c r="S38" s="204">
        <v>0</v>
      </c>
      <c r="T38" s="187"/>
      <c r="U38" s="167">
        <f t="shared" si="3"/>
        <v>4350211.0199999968</v>
      </c>
      <c r="Y38" s="31"/>
    </row>
    <row r="39" spans="1:25" x14ac:dyDescent="0.2">
      <c r="D39" s="167" t="s">
        <v>1</v>
      </c>
      <c r="E39" s="168"/>
      <c r="F39" s="167"/>
      <c r="G39" s="168"/>
      <c r="H39" s="167"/>
      <c r="I39" s="176"/>
      <c r="J39" s="177"/>
      <c r="K39" s="168"/>
      <c r="L39" s="168"/>
      <c r="M39" s="167"/>
      <c r="N39" s="168"/>
      <c r="O39" s="167"/>
      <c r="P39" s="168"/>
      <c r="Q39" s="186"/>
      <c r="R39" s="187"/>
      <c r="S39" s="204"/>
      <c r="T39" s="187"/>
      <c r="U39" s="167"/>
      <c r="Y39" s="31"/>
    </row>
    <row r="40" spans="1:25" x14ac:dyDescent="0.2">
      <c r="A40" s="6" t="s">
        <v>39</v>
      </c>
      <c r="D40" s="167">
        <f>'Revenue BreakOut'!X47</f>
        <v>312957.52999999997</v>
      </c>
      <c r="E40" s="168"/>
      <c r="F40" s="167">
        <f>-(306671*0.15)</f>
        <v>-46000.65</v>
      </c>
      <c r="G40" s="168"/>
      <c r="H40" s="167">
        <f>SUM(D40:F40)</f>
        <v>266956.87999999995</v>
      </c>
      <c r="I40" s="176"/>
      <c r="J40" s="177"/>
      <c r="K40" s="168"/>
      <c r="L40" s="168"/>
      <c r="M40" s="167">
        <f>SUM(H40:L40)</f>
        <v>266956.87999999995</v>
      </c>
      <c r="N40" s="168"/>
      <c r="O40" s="167"/>
      <c r="P40" s="168"/>
      <c r="Q40" s="167">
        <f>SUM(M40:P40)</f>
        <v>266956.87999999995</v>
      </c>
      <c r="R40" s="187"/>
      <c r="S40" s="204">
        <v>0</v>
      </c>
      <c r="T40" s="187"/>
      <c r="U40" s="167">
        <f t="shared" si="3"/>
        <v>266956.87999999995</v>
      </c>
      <c r="Y40" s="31"/>
    </row>
    <row r="41" spans="1:25" x14ac:dyDescent="0.2">
      <c r="D41" s="167" t="s">
        <v>1</v>
      </c>
      <c r="E41" s="168"/>
      <c r="F41" s="167"/>
      <c r="G41" s="218"/>
      <c r="H41" s="167"/>
      <c r="I41" s="176"/>
      <c r="J41" s="177"/>
      <c r="K41" s="168"/>
      <c r="L41" s="168"/>
      <c r="M41" s="167"/>
      <c r="N41" s="168"/>
      <c r="O41" s="167"/>
      <c r="P41" s="168"/>
      <c r="Q41" s="167"/>
      <c r="R41" s="187"/>
      <c r="S41" s="204"/>
      <c r="T41" s="187"/>
      <c r="U41" s="167"/>
      <c r="Y41" s="31"/>
    </row>
    <row r="42" spans="1:25" x14ac:dyDescent="0.2">
      <c r="A42" s="6" t="s">
        <v>40</v>
      </c>
      <c r="D42" s="167">
        <f>'Revenue BreakOut'!X49</f>
        <v>1945383.1599999992</v>
      </c>
      <c r="E42" s="168"/>
      <c r="F42" s="167">
        <f>-(7237586*0.15)</f>
        <v>-1085637.8999999999</v>
      </c>
      <c r="G42" s="168"/>
      <c r="H42" s="167">
        <f>SUM(D42:F42)</f>
        <v>859745.25999999931</v>
      </c>
      <c r="I42" s="176"/>
      <c r="J42" s="177"/>
      <c r="K42" s="168"/>
      <c r="L42" s="168"/>
      <c r="M42" s="167">
        <f t="shared" ref="M42" si="4">SUM(H42:L42)</f>
        <v>859745.25999999931</v>
      </c>
      <c r="N42" s="168"/>
      <c r="O42" s="167"/>
      <c r="P42" s="168"/>
      <c r="Q42" s="167">
        <f t="shared" ref="Q42:Q52" si="5">SUM(M42:P42)</f>
        <v>859745.25999999931</v>
      </c>
      <c r="R42" s="187"/>
      <c r="S42" s="204">
        <v>0</v>
      </c>
      <c r="T42" s="187"/>
      <c r="U42" s="167">
        <f t="shared" si="3"/>
        <v>859745.25999999931</v>
      </c>
      <c r="Y42" s="31"/>
    </row>
    <row r="43" spans="1:25" x14ac:dyDescent="0.2">
      <c r="D43" s="167"/>
      <c r="E43" s="168"/>
      <c r="F43" s="167"/>
      <c r="G43" s="168"/>
      <c r="H43" s="167"/>
      <c r="I43" s="176"/>
      <c r="J43" s="177"/>
      <c r="K43" s="168"/>
      <c r="L43" s="168"/>
      <c r="M43" s="167" t="s">
        <v>1</v>
      </c>
      <c r="N43" s="168"/>
      <c r="O43" s="167"/>
      <c r="P43" s="168"/>
      <c r="Q43" s="167"/>
      <c r="R43" s="187"/>
      <c r="S43" s="204"/>
      <c r="T43" s="205"/>
      <c r="U43" s="167"/>
      <c r="Y43" s="31"/>
    </row>
    <row r="44" spans="1:25" x14ac:dyDescent="0.2">
      <c r="A44" s="6" t="s">
        <v>125</v>
      </c>
      <c r="D44" s="167">
        <f>'Revenue BreakOut'!X51</f>
        <v>31424563.529999997</v>
      </c>
      <c r="E44" s="168"/>
      <c r="F44" s="167">
        <f>-(23323353*0.15)</f>
        <v>-3498502.9499999997</v>
      </c>
      <c r="G44" s="168"/>
      <c r="H44" s="167">
        <f>SUM(D44:F44)</f>
        <v>27926060.579999998</v>
      </c>
      <c r="I44" s="176"/>
      <c r="J44" s="177"/>
      <c r="K44" s="184"/>
      <c r="L44" s="184"/>
      <c r="M44" s="167">
        <f>SUM(H44:L44)</f>
        <v>27926060.579999998</v>
      </c>
      <c r="N44" s="168"/>
      <c r="O44" s="167"/>
      <c r="P44" s="168"/>
      <c r="Q44" s="167">
        <f t="shared" si="5"/>
        <v>27926060.579999998</v>
      </c>
      <c r="R44" s="187"/>
      <c r="S44" s="204">
        <v>0</v>
      </c>
      <c r="T44" s="187"/>
      <c r="U44" s="167">
        <f t="shared" si="3"/>
        <v>27926060.579999998</v>
      </c>
      <c r="V44" s="29"/>
      <c r="W44" s="31"/>
      <c r="Y44" s="31"/>
    </row>
    <row r="45" spans="1:25" x14ac:dyDescent="0.2">
      <c r="D45" s="167" t="s">
        <v>1</v>
      </c>
      <c r="E45" s="168"/>
      <c r="F45" s="167"/>
      <c r="G45" s="168"/>
      <c r="H45" s="167"/>
      <c r="I45" s="176"/>
      <c r="J45" s="177"/>
      <c r="K45" s="168"/>
      <c r="L45" s="168"/>
      <c r="M45" s="167"/>
      <c r="N45" s="168"/>
      <c r="O45" s="167"/>
      <c r="P45" s="168"/>
      <c r="Q45" s="167"/>
      <c r="R45" s="187"/>
      <c r="S45" s="204"/>
      <c r="T45" s="187"/>
      <c r="U45" s="167"/>
      <c r="Y45" s="31"/>
    </row>
    <row r="46" spans="1:25" x14ac:dyDescent="0.2">
      <c r="A46" s="6" t="s">
        <v>126</v>
      </c>
      <c r="D46" s="167">
        <f>'Revenue BreakOut'!X53</f>
        <v>1979271.44</v>
      </c>
      <c r="E46" s="168"/>
      <c r="F46" s="167">
        <f>-(107044*0.15)</f>
        <v>-16056.599999999999</v>
      </c>
      <c r="G46" s="168"/>
      <c r="H46" s="167">
        <f t="shared" ref="H46:H52" si="6">SUM(D46:F46)</f>
        <v>1963214.8399999999</v>
      </c>
      <c r="I46" s="176"/>
      <c r="J46" s="177"/>
      <c r="K46" s="168"/>
      <c r="L46" s="168"/>
      <c r="M46" s="167">
        <f t="shared" ref="M46:M52" si="7">SUM(H46:L46)</f>
        <v>1963214.8399999999</v>
      </c>
      <c r="N46" s="168"/>
      <c r="O46" s="167"/>
      <c r="P46" s="168"/>
      <c r="Q46" s="167">
        <f t="shared" si="5"/>
        <v>1963214.8399999999</v>
      </c>
      <c r="R46" s="187"/>
      <c r="S46" s="204">
        <v>0</v>
      </c>
      <c r="T46" s="187"/>
      <c r="U46" s="167">
        <f t="shared" si="3"/>
        <v>1963214.8399999999</v>
      </c>
      <c r="Y46" s="31"/>
    </row>
    <row r="47" spans="1:25" x14ac:dyDescent="0.2">
      <c r="B47" s="36"/>
      <c r="D47" s="206" t="s">
        <v>1</v>
      </c>
      <c r="E47" s="210"/>
      <c r="F47" s="206"/>
      <c r="G47" s="210"/>
      <c r="H47" s="167"/>
      <c r="I47" s="209"/>
      <c r="J47" s="206"/>
      <c r="K47" s="210"/>
      <c r="L47" s="210"/>
      <c r="M47" s="167"/>
      <c r="N47" s="210"/>
      <c r="O47" s="206"/>
      <c r="P47" s="210"/>
      <c r="Q47" s="167"/>
      <c r="R47" s="207"/>
      <c r="S47" s="212"/>
      <c r="T47" s="207"/>
      <c r="U47" s="167"/>
      <c r="Y47" s="31"/>
    </row>
    <row r="48" spans="1:25" x14ac:dyDescent="0.2">
      <c r="A48" s="6" t="s">
        <v>127</v>
      </c>
      <c r="D48" s="167">
        <f>'Revenue BreakOut'!X55</f>
        <v>5419375.7400000002</v>
      </c>
      <c r="E48" s="168"/>
      <c r="F48" s="167">
        <f>-(252632*0.15)</f>
        <v>-37894.799999999996</v>
      </c>
      <c r="G48" s="168"/>
      <c r="H48" s="167">
        <f t="shared" si="6"/>
        <v>5381480.9400000004</v>
      </c>
      <c r="I48" s="176"/>
      <c r="J48" s="177"/>
      <c r="K48" s="168"/>
      <c r="L48" s="168"/>
      <c r="M48" s="167">
        <f t="shared" si="7"/>
        <v>5381480.9400000004</v>
      </c>
      <c r="N48" s="168"/>
      <c r="O48" s="173"/>
      <c r="P48" s="168"/>
      <c r="Q48" s="167">
        <f t="shared" si="5"/>
        <v>5381480.9400000004</v>
      </c>
      <c r="R48" s="187"/>
      <c r="S48" s="204">
        <v>0</v>
      </c>
      <c r="T48" s="187"/>
      <c r="U48" s="167">
        <f t="shared" si="3"/>
        <v>5381480.9400000004</v>
      </c>
      <c r="Y48" s="31"/>
    </row>
    <row r="49" spans="1:25" s="37" customFormat="1" x14ac:dyDescent="0.2">
      <c r="A49" s="6"/>
      <c r="B49" s="130"/>
      <c r="C49" s="29"/>
      <c r="D49" s="167" t="s">
        <v>1</v>
      </c>
      <c r="E49" s="168"/>
      <c r="F49" s="167"/>
      <c r="G49" s="168"/>
      <c r="H49" s="167"/>
      <c r="I49" s="169"/>
      <c r="J49" s="167"/>
      <c r="K49" s="168"/>
      <c r="L49" s="168"/>
      <c r="M49" s="167"/>
      <c r="N49" s="168"/>
      <c r="O49" s="167"/>
      <c r="P49" s="168"/>
      <c r="Q49" s="167"/>
      <c r="R49" s="187"/>
      <c r="S49" s="204"/>
      <c r="T49" s="187"/>
      <c r="U49" s="167"/>
      <c r="V49" s="28"/>
      <c r="Y49" s="31"/>
    </row>
    <row r="50" spans="1:25" x14ac:dyDescent="0.2">
      <c r="A50" s="6" t="s">
        <v>128</v>
      </c>
      <c r="D50" s="167">
        <f>'Revenue BreakOut'!X57</f>
        <v>2521008.52</v>
      </c>
      <c r="E50" s="168"/>
      <c r="F50" s="167">
        <f>-(117520*0.15)</f>
        <v>-17628</v>
      </c>
      <c r="G50" s="168"/>
      <c r="H50" s="167">
        <f t="shared" si="6"/>
        <v>2503380.52</v>
      </c>
      <c r="I50" s="169"/>
      <c r="J50" s="167"/>
      <c r="K50" s="168"/>
      <c r="L50" s="168"/>
      <c r="M50" s="167">
        <f t="shared" si="7"/>
        <v>2503380.52</v>
      </c>
      <c r="N50" s="168"/>
      <c r="O50" s="173"/>
      <c r="P50" s="168"/>
      <c r="Q50" s="167">
        <f t="shared" si="5"/>
        <v>2503380.52</v>
      </c>
      <c r="R50" s="187"/>
      <c r="S50" s="204">
        <v>0</v>
      </c>
      <c r="T50" s="187"/>
      <c r="U50" s="167">
        <f t="shared" si="3"/>
        <v>2503380.52</v>
      </c>
      <c r="Y50" s="31"/>
    </row>
    <row r="51" spans="1:25" s="37" customFormat="1" x14ac:dyDescent="0.2">
      <c r="A51" s="6"/>
      <c r="B51" s="130"/>
      <c r="C51" s="29"/>
      <c r="D51" s="167" t="s">
        <v>1</v>
      </c>
      <c r="E51" s="168"/>
      <c r="F51" s="167"/>
      <c r="G51" s="168"/>
      <c r="H51" s="167"/>
      <c r="I51" s="169"/>
      <c r="J51" s="167"/>
      <c r="K51" s="168"/>
      <c r="L51" s="168"/>
      <c r="M51" s="167"/>
      <c r="N51" s="168"/>
      <c r="O51" s="167"/>
      <c r="P51" s="168"/>
      <c r="Q51" s="167"/>
      <c r="R51" s="187"/>
      <c r="S51" s="204"/>
      <c r="T51" s="187"/>
      <c r="U51" s="167"/>
      <c r="V51" s="28"/>
      <c r="Y51" s="31"/>
    </row>
    <row r="52" spans="1:25" s="37" customFormat="1" x14ac:dyDescent="0.2">
      <c r="A52" s="6" t="s">
        <v>41</v>
      </c>
      <c r="B52" s="130"/>
      <c r="C52" s="29"/>
      <c r="D52" s="167">
        <f>'Revenue BreakOut'!X59</f>
        <v>664096.37999999989</v>
      </c>
      <c r="E52" s="168"/>
      <c r="F52" s="167">
        <f>-(1556756*0.15)</f>
        <v>-233513.4</v>
      </c>
      <c r="G52" s="168"/>
      <c r="H52" s="167">
        <f t="shared" si="6"/>
        <v>430582.97999999986</v>
      </c>
      <c r="I52" s="169"/>
      <c r="J52" s="167"/>
      <c r="K52" s="168"/>
      <c r="L52" s="168"/>
      <c r="M52" s="167">
        <f t="shared" si="7"/>
        <v>430582.97999999986</v>
      </c>
      <c r="N52" s="168"/>
      <c r="O52" s="167"/>
      <c r="P52" s="168"/>
      <c r="Q52" s="167">
        <f t="shared" si="5"/>
        <v>430582.97999999986</v>
      </c>
      <c r="R52" s="187"/>
      <c r="S52" s="204">
        <v>0</v>
      </c>
      <c r="T52" s="187"/>
      <c r="U52" s="167">
        <f t="shared" si="3"/>
        <v>430582.97999999986</v>
      </c>
      <c r="V52" s="28"/>
      <c r="Y52" s="31"/>
    </row>
    <row r="53" spans="1:25" s="37" customFormat="1" x14ac:dyDescent="0.2">
      <c r="A53" s="6"/>
      <c r="B53" s="130"/>
      <c r="C53" s="29"/>
      <c r="D53" s="167"/>
      <c r="E53" s="168"/>
      <c r="F53" s="167"/>
      <c r="G53" s="168"/>
      <c r="H53" s="167"/>
      <c r="I53" s="169"/>
      <c r="J53" s="167"/>
      <c r="K53" s="168"/>
      <c r="L53" s="168"/>
      <c r="M53" s="167"/>
      <c r="N53" s="168"/>
      <c r="O53" s="167"/>
      <c r="P53" s="168"/>
      <c r="Q53" s="167"/>
      <c r="R53" s="187"/>
      <c r="S53" s="204"/>
      <c r="T53" s="187"/>
      <c r="U53" s="167"/>
      <c r="V53" s="28"/>
      <c r="Y53" s="31"/>
    </row>
    <row r="54" spans="1:25" x14ac:dyDescent="0.2">
      <c r="A54" s="6" t="s">
        <v>42</v>
      </c>
      <c r="D54" s="167">
        <f>'Revenue BreakOut'!X63</f>
        <v>2352742.2000000002</v>
      </c>
      <c r="E54" s="168"/>
      <c r="F54" s="167">
        <f>-(1812826*0.15)</f>
        <v>-271923.89999999997</v>
      </c>
      <c r="G54" s="168"/>
      <c r="H54" s="167">
        <f>SUM(D54:F54)</f>
        <v>2080818.3000000003</v>
      </c>
      <c r="I54" s="169"/>
      <c r="J54" s="167"/>
      <c r="K54" s="168"/>
      <c r="L54" s="168"/>
      <c r="M54" s="167">
        <f>SUM(H54:L54)</f>
        <v>2080818.3000000003</v>
      </c>
      <c r="N54" s="168"/>
      <c r="O54" s="167"/>
      <c r="P54" s="168"/>
      <c r="Q54" s="167">
        <f>SUM(M54:P54)</f>
        <v>2080818.3000000003</v>
      </c>
      <c r="R54" s="187"/>
      <c r="S54" s="204">
        <v>0</v>
      </c>
      <c r="T54" s="187"/>
      <c r="U54" s="167">
        <f t="shared" si="3"/>
        <v>2080818.3000000003</v>
      </c>
      <c r="Y54" s="31"/>
    </row>
    <row r="55" spans="1:25" x14ac:dyDescent="0.2">
      <c r="D55" s="167"/>
      <c r="E55" s="168"/>
      <c r="F55" s="167"/>
      <c r="G55" s="168"/>
      <c r="H55" s="167"/>
      <c r="I55" s="176"/>
      <c r="J55" s="177"/>
      <c r="K55" s="168"/>
      <c r="L55" s="168"/>
      <c r="M55" s="167"/>
      <c r="N55" s="168"/>
      <c r="O55" s="167"/>
      <c r="P55" s="168"/>
      <c r="Q55" s="186"/>
      <c r="R55" s="187"/>
      <c r="S55" s="204"/>
      <c r="T55" s="187"/>
      <c r="U55" s="167"/>
      <c r="Y55" s="31"/>
    </row>
    <row r="56" spans="1:25" x14ac:dyDescent="0.2">
      <c r="A56" s="6" t="s">
        <v>61</v>
      </c>
      <c r="D56" s="167">
        <f>'Revenue BreakOut'!X65</f>
        <v>4279429.2799999993</v>
      </c>
      <c r="E56" s="168"/>
      <c r="F56" s="167">
        <f>-(3773876*0.15)</f>
        <v>-566081.4</v>
      </c>
      <c r="G56" s="168"/>
      <c r="H56" s="167">
        <f>SUM(D56:F56)</f>
        <v>3713347.8799999994</v>
      </c>
      <c r="I56" s="176"/>
      <c r="J56" s="177"/>
      <c r="K56" s="168"/>
      <c r="L56" s="168"/>
      <c r="M56" s="167">
        <f>SUM(H56:L56)</f>
        <v>3713347.8799999994</v>
      </c>
      <c r="N56" s="168"/>
      <c r="O56" s="167"/>
      <c r="P56" s="168"/>
      <c r="Q56" s="167">
        <f>SUM(M56:P56)</f>
        <v>3713347.8799999994</v>
      </c>
      <c r="R56" s="168"/>
      <c r="S56" s="178">
        <v>0</v>
      </c>
      <c r="T56" s="168"/>
      <c r="U56" s="167">
        <f t="shared" si="3"/>
        <v>3713347.8799999994</v>
      </c>
      <c r="Y56" s="31"/>
    </row>
    <row r="57" spans="1:25" s="37" customFormat="1" x14ac:dyDescent="0.2">
      <c r="A57" s="65"/>
      <c r="B57" s="40"/>
      <c r="C57" s="32"/>
      <c r="D57" s="206"/>
      <c r="E57" s="210"/>
      <c r="F57" s="206"/>
      <c r="G57" s="210"/>
      <c r="H57" s="206"/>
      <c r="I57" s="209"/>
      <c r="J57" s="206"/>
      <c r="K57" s="210"/>
      <c r="L57" s="210"/>
      <c r="M57" s="167"/>
      <c r="N57" s="210"/>
      <c r="O57" s="206"/>
      <c r="P57" s="210"/>
      <c r="Q57" s="167"/>
      <c r="R57" s="210"/>
      <c r="S57" s="178"/>
      <c r="T57" s="210"/>
      <c r="U57" s="167"/>
      <c r="Y57" s="31"/>
    </row>
    <row r="58" spans="1:25" x14ac:dyDescent="0.2">
      <c r="A58" s="6" t="s">
        <v>92</v>
      </c>
      <c r="D58" s="167">
        <f>'Revenue BreakOut'!X67</f>
        <v>558895.94999999995</v>
      </c>
      <c r="E58" s="168"/>
      <c r="F58" s="167">
        <f>-(1126249*0.15)</f>
        <v>-168937.35</v>
      </c>
      <c r="G58" s="168"/>
      <c r="H58" s="167">
        <f>SUM(D58:F58)</f>
        <v>389958.6</v>
      </c>
      <c r="I58" s="176"/>
      <c r="J58" s="177"/>
      <c r="K58" s="168"/>
      <c r="L58" s="168"/>
      <c r="M58" s="167">
        <f>SUM(H58:L58)</f>
        <v>389958.6</v>
      </c>
      <c r="N58" s="168"/>
      <c r="O58" s="167"/>
      <c r="P58" s="168"/>
      <c r="Q58" s="167">
        <f>SUM(M58:P58)</f>
        <v>389958.6</v>
      </c>
      <c r="R58" s="168"/>
      <c r="S58" s="178">
        <v>0</v>
      </c>
      <c r="T58" s="168"/>
      <c r="U58" s="167">
        <f t="shared" si="3"/>
        <v>389958.6</v>
      </c>
      <c r="Y58" s="31"/>
    </row>
    <row r="59" spans="1:25" s="37" customFormat="1" x14ac:dyDescent="0.2">
      <c r="A59" s="65"/>
      <c r="B59" s="36"/>
      <c r="C59" s="32"/>
      <c r="D59" s="206"/>
      <c r="E59" s="210"/>
      <c r="F59" s="206"/>
      <c r="G59" s="210"/>
      <c r="H59" s="206"/>
      <c r="I59" s="209"/>
      <c r="J59" s="206"/>
      <c r="K59" s="210"/>
      <c r="L59" s="210"/>
      <c r="M59" s="206"/>
      <c r="N59" s="210"/>
      <c r="O59" s="206"/>
      <c r="P59" s="210"/>
      <c r="Q59" s="206"/>
      <c r="R59" s="210"/>
      <c r="S59" s="217"/>
      <c r="T59" s="210"/>
      <c r="U59" s="167"/>
      <c r="Y59" s="31"/>
    </row>
    <row r="60" spans="1:25" x14ac:dyDescent="0.2">
      <c r="A60" s="6" t="s">
        <v>43</v>
      </c>
      <c r="D60" s="167">
        <f>'Revenue BreakOut'!X70</f>
        <v>7615783.8099999987</v>
      </c>
      <c r="E60" s="168"/>
      <c r="F60" s="167">
        <f>-(8878172*0.15)</f>
        <v>-1331725.8</v>
      </c>
      <c r="G60" s="168"/>
      <c r="H60" s="167">
        <f>SUM(D60:F60)</f>
        <v>6284058.0099999988</v>
      </c>
      <c r="I60" s="176"/>
      <c r="J60" s="177"/>
      <c r="K60" s="168"/>
      <c r="L60" s="168"/>
      <c r="M60" s="167">
        <f>SUM(H60:L60)</f>
        <v>6284058.0099999988</v>
      </c>
      <c r="N60" s="168"/>
      <c r="O60" s="167"/>
      <c r="P60" s="168"/>
      <c r="Q60" s="167">
        <f>SUM(M60:P60)</f>
        <v>6284058.0099999988</v>
      </c>
      <c r="R60" s="168"/>
      <c r="S60" s="178">
        <v>0</v>
      </c>
      <c r="T60" s="168"/>
      <c r="U60" s="167">
        <f t="shared" si="3"/>
        <v>6284058.0099999988</v>
      </c>
      <c r="Y60" s="31"/>
    </row>
    <row r="61" spans="1:25" x14ac:dyDescent="0.2">
      <c r="A61" s="81"/>
      <c r="D61" s="167"/>
      <c r="E61" s="168"/>
      <c r="F61" s="167"/>
      <c r="G61" s="168"/>
      <c r="H61" s="167"/>
      <c r="I61" s="176"/>
      <c r="J61" s="177"/>
      <c r="K61" s="168"/>
      <c r="L61" s="168"/>
      <c r="M61" s="167"/>
      <c r="N61" s="168"/>
      <c r="O61" s="167"/>
      <c r="P61" s="168"/>
      <c r="Q61" s="167"/>
      <c r="R61" s="168"/>
      <c r="S61" s="204"/>
      <c r="T61" s="219"/>
      <c r="U61" s="220"/>
    </row>
    <row r="62" spans="1:25" x14ac:dyDescent="0.2">
      <c r="D62" s="167"/>
      <c r="E62" s="168"/>
      <c r="F62" s="167"/>
      <c r="G62" s="168"/>
      <c r="H62" s="167"/>
      <c r="I62" s="176"/>
      <c r="J62" s="177">
        <f>SUM(J22:J59)</f>
        <v>0</v>
      </c>
      <c r="K62" s="168"/>
      <c r="L62" s="168"/>
      <c r="M62" s="167"/>
      <c r="N62" s="168"/>
      <c r="O62" s="167"/>
      <c r="P62" s="168"/>
      <c r="Q62" s="167"/>
      <c r="R62" s="168"/>
      <c r="S62" s="178">
        <f>SUM(S19:S60)-S27</f>
        <v>0</v>
      </c>
      <c r="T62" s="168"/>
      <c r="U62" s="167"/>
    </row>
    <row r="63" spans="1:25" x14ac:dyDescent="0.2">
      <c r="B63" s="54"/>
      <c r="D63" s="201"/>
      <c r="E63" s="168"/>
      <c r="F63" s="167"/>
      <c r="G63" s="168"/>
      <c r="H63" s="167"/>
      <c r="I63" s="176"/>
      <c r="J63" s="177"/>
      <c r="K63" s="168"/>
      <c r="L63" s="168"/>
      <c r="M63" s="186"/>
      <c r="N63" s="218"/>
      <c r="O63" s="177">
        <f>J62+S62</f>
        <v>0</v>
      </c>
      <c r="P63" s="178"/>
      <c r="Q63" s="177" t="s">
        <v>23</v>
      </c>
      <c r="R63" s="168"/>
      <c r="S63" s="178"/>
      <c r="T63" s="168"/>
      <c r="U63" s="221"/>
      <c r="V63" s="55"/>
      <c r="W63" s="55"/>
    </row>
    <row r="64" spans="1:25" x14ac:dyDescent="0.2">
      <c r="D64" s="167"/>
      <c r="E64" s="168"/>
      <c r="F64" s="167"/>
      <c r="G64" s="168"/>
      <c r="H64" s="167"/>
      <c r="I64" s="176"/>
      <c r="J64" s="175"/>
      <c r="K64" s="168"/>
      <c r="L64" s="168"/>
      <c r="M64" s="186"/>
      <c r="N64" s="168"/>
      <c r="O64" s="186"/>
      <c r="P64" s="187"/>
      <c r="Q64" s="186"/>
      <c r="R64" s="168"/>
      <c r="S64" s="178"/>
      <c r="T64" s="168"/>
      <c r="U64" s="221"/>
    </row>
    <row r="65" spans="1:21" x14ac:dyDescent="0.2">
      <c r="D65" s="167"/>
      <c r="E65" s="168"/>
      <c r="F65" s="167"/>
      <c r="G65" s="168"/>
      <c r="H65" s="167"/>
      <c r="I65" s="176"/>
      <c r="J65" s="177"/>
      <c r="K65" s="168"/>
      <c r="L65" s="168"/>
      <c r="M65" s="186"/>
      <c r="N65" s="168"/>
      <c r="O65" s="186"/>
      <c r="P65" s="187"/>
      <c r="Q65" s="186"/>
      <c r="R65" s="168"/>
      <c r="S65" s="178"/>
      <c r="T65" s="168"/>
      <c r="U65" s="186"/>
    </row>
    <row r="66" spans="1:21" x14ac:dyDescent="0.2">
      <c r="D66" s="167"/>
      <c r="E66" s="168"/>
      <c r="F66" s="167"/>
      <c r="G66" s="168"/>
      <c r="H66" s="167"/>
      <c r="I66" s="176"/>
      <c r="J66" s="177"/>
      <c r="K66" s="168"/>
      <c r="L66" s="168"/>
      <c r="M66" s="186"/>
      <c r="N66" s="168"/>
      <c r="O66" s="186"/>
      <c r="P66" s="187"/>
      <c r="Q66" s="186"/>
      <c r="R66" s="168"/>
      <c r="S66" s="178"/>
      <c r="T66" s="168"/>
      <c r="U66" s="167"/>
    </row>
    <row r="67" spans="1:21" x14ac:dyDescent="0.2">
      <c r="B67" s="29" t="s">
        <v>1</v>
      </c>
      <c r="D67" s="167"/>
      <c r="E67" s="168"/>
      <c r="F67" s="167"/>
      <c r="G67" s="168"/>
      <c r="H67" s="167"/>
      <c r="I67" s="176"/>
      <c r="J67" s="177"/>
      <c r="K67" s="168"/>
      <c r="L67" s="168"/>
      <c r="M67" s="167"/>
      <c r="N67" s="168"/>
      <c r="O67" s="167"/>
      <c r="P67" s="168"/>
      <c r="Q67" s="167"/>
      <c r="R67" s="168"/>
      <c r="S67" s="178"/>
      <c r="T67" s="168"/>
      <c r="U67" s="167"/>
    </row>
    <row r="68" spans="1:21" x14ac:dyDescent="0.2">
      <c r="A68" s="254"/>
    </row>
  </sheetData>
  <mergeCells count="1">
    <mergeCell ref="A29:B29"/>
  </mergeCells>
  <phoneticPr fontId="1" type="noConversion"/>
  <printOptions gridLines="1"/>
  <pageMargins left="0.15" right="0.15" top="0.25" bottom="0.5" header="0.5" footer="0.05"/>
  <pageSetup scale="64" orientation="landscape" r:id="rId1"/>
  <headerFooter alignWithMargins="0">
    <oddFooter>&amp;R&amp;8&amp;Z
&amp;F\&amp;A
&amp;D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6296A-A9A1-4602-B700-C21991E66A26}">
  <sheetPr>
    <pageSetUpPr fitToPage="1"/>
  </sheetPr>
  <dimension ref="A1:Y68"/>
  <sheetViews>
    <sheetView topLeftCell="A40" workbookViewId="0">
      <selection activeCell="A68" sqref="A68"/>
    </sheetView>
  </sheetViews>
  <sheetFormatPr defaultColWidth="9.140625" defaultRowHeight="12.75" x14ac:dyDescent="0.2"/>
  <cols>
    <col min="1" max="1" width="21.140625" style="6" customWidth="1"/>
    <col min="2" max="2" width="13" style="29" customWidth="1"/>
    <col min="3" max="3" width="0.85546875" style="29" customWidth="1"/>
    <col min="4" max="4" width="15.140625" style="138" bestFit="1" customWidth="1"/>
    <col min="5" max="5" width="1.5703125" style="139" customWidth="1"/>
    <col min="6" max="6" width="14.5703125" style="138" customWidth="1"/>
    <col min="7" max="7" width="2.28515625" style="138" customWidth="1"/>
    <col min="8" max="8" width="18.5703125" style="138" bestFit="1" customWidth="1"/>
    <col min="9" max="9" width="2.85546875" style="139" customWidth="1"/>
    <col min="10" max="10" width="14.42578125" style="138" bestFit="1" customWidth="1"/>
    <col min="11" max="11" width="5.7109375" style="142" customWidth="1"/>
    <col min="12" max="12" width="19.5703125" style="146" bestFit="1" customWidth="1"/>
    <col min="13" max="13" width="0" style="139" hidden="1" customWidth="1"/>
    <col min="14" max="14" width="3.28515625" style="139" customWidth="1"/>
    <col min="15" max="15" width="16.28515625" style="138" customWidth="1"/>
    <col min="16" max="16" width="0.7109375" style="139" customWidth="1"/>
    <col min="17" max="17" width="15.85546875" style="138" customWidth="1"/>
    <col min="18" max="18" width="1" style="139" customWidth="1"/>
    <col min="19" max="19" width="20.85546875" style="138" customWidth="1"/>
    <col min="20" max="20" width="4.5703125" style="139" customWidth="1"/>
    <col min="21" max="21" width="14.7109375" style="166" bestFit="1" customWidth="1"/>
    <col min="22" max="22" width="0.85546875" style="139" customWidth="1"/>
    <col min="23" max="23" width="20.42578125" style="138" bestFit="1" customWidth="1"/>
    <col min="24" max="24" width="9.140625" style="28"/>
    <col min="25" max="25" width="10.7109375" style="28" bestFit="1" customWidth="1"/>
    <col min="26" max="16384" width="9.140625" style="28"/>
  </cols>
  <sheetData>
    <row r="1" spans="1:24" x14ac:dyDescent="0.2">
      <c r="A1" s="6" t="s">
        <v>144</v>
      </c>
      <c r="D1" s="138" t="s">
        <v>1</v>
      </c>
      <c r="F1" s="140" t="s">
        <v>2</v>
      </c>
      <c r="G1" s="140"/>
      <c r="H1" s="140"/>
      <c r="I1" s="141"/>
      <c r="J1" s="140"/>
      <c r="L1" s="143" t="s">
        <v>3</v>
      </c>
      <c r="O1" s="144" t="s">
        <v>4</v>
      </c>
      <c r="S1" s="143" t="s">
        <v>5</v>
      </c>
      <c r="U1" s="145"/>
      <c r="W1" s="146"/>
    </row>
    <row r="2" spans="1:24" x14ac:dyDescent="0.2">
      <c r="A2" s="22" t="s">
        <v>6</v>
      </c>
      <c r="B2" s="45"/>
      <c r="C2" s="45"/>
      <c r="D2" s="147" t="s">
        <v>9</v>
      </c>
      <c r="E2" s="148"/>
      <c r="F2" s="147" t="s">
        <v>10</v>
      </c>
      <c r="G2" s="147"/>
      <c r="H2" s="147" t="s">
        <v>147</v>
      </c>
      <c r="I2" s="150"/>
      <c r="J2" s="151" t="s">
        <v>11</v>
      </c>
      <c r="K2" s="152"/>
      <c r="L2" s="147" t="s">
        <v>12</v>
      </c>
      <c r="M2" s="148" t="s">
        <v>13</v>
      </c>
      <c r="N2" s="148"/>
      <c r="O2" s="153" t="s">
        <v>14</v>
      </c>
      <c r="S2" s="143" t="s">
        <v>15</v>
      </c>
      <c r="U2" s="145" t="s">
        <v>67</v>
      </c>
      <c r="W2" s="143" t="s">
        <v>16</v>
      </c>
    </row>
    <row r="3" spans="1:24" x14ac:dyDescent="0.2">
      <c r="A3" s="22"/>
      <c r="B3" s="45"/>
      <c r="C3" s="45"/>
      <c r="D3" s="147" t="s">
        <v>21</v>
      </c>
      <c r="E3" s="148"/>
      <c r="F3" s="147" t="s">
        <v>22</v>
      </c>
      <c r="G3" s="147"/>
      <c r="H3" s="147" t="s">
        <v>148</v>
      </c>
      <c r="I3" s="150"/>
      <c r="J3" s="151" t="s">
        <v>23</v>
      </c>
      <c r="K3" s="152"/>
      <c r="L3" s="147" t="s">
        <v>24</v>
      </c>
      <c r="M3" s="148" t="s">
        <v>25</v>
      </c>
      <c r="N3" s="148"/>
      <c r="O3" s="144" t="s">
        <v>26</v>
      </c>
      <c r="Q3" s="143" t="s">
        <v>27</v>
      </c>
      <c r="S3" s="143" t="s">
        <v>26</v>
      </c>
      <c r="U3" s="145" t="s">
        <v>10</v>
      </c>
      <c r="W3" s="143" t="s">
        <v>10</v>
      </c>
    </row>
    <row r="4" spans="1:24" s="49" customFormat="1" x14ac:dyDescent="0.2">
      <c r="A4" s="23"/>
      <c r="B4" s="48"/>
      <c r="C4" s="48"/>
      <c r="D4" s="154"/>
      <c r="E4" s="155"/>
      <c r="F4" s="156"/>
      <c r="G4" s="156"/>
      <c r="H4" s="156"/>
      <c r="I4" s="157"/>
      <c r="J4" s="158"/>
      <c r="K4" s="159"/>
      <c r="L4" s="160" t="s">
        <v>145</v>
      </c>
      <c r="M4" s="161" t="s">
        <v>30</v>
      </c>
      <c r="N4" s="161"/>
      <c r="O4" s="162" t="s">
        <v>21</v>
      </c>
      <c r="P4" s="163"/>
      <c r="Q4" s="158"/>
      <c r="R4" s="163"/>
      <c r="S4" s="164" t="s">
        <v>21</v>
      </c>
      <c r="T4" s="163"/>
      <c r="U4" s="165" t="s">
        <v>145</v>
      </c>
      <c r="V4" s="163"/>
      <c r="W4" s="164" t="s">
        <v>31</v>
      </c>
    </row>
    <row r="5" spans="1:24" x14ac:dyDescent="0.2">
      <c r="A5" s="60" t="s">
        <v>62</v>
      </c>
      <c r="B5" s="35"/>
      <c r="C5" s="35"/>
      <c r="D5" s="167">
        <f>'Revenue BreakOut'!X12</f>
        <v>39826237.269999996</v>
      </c>
      <c r="E5" s="168"/>
      <c r="F5" s="173">
        <v>-34000000</v>
      </c>
      <c r="G5" s="173"/>
      <c r="H5" s="173">
        <f>(8889380*0.773*0.5)*-1</f>
        <v>-3435745.37</v>
      </c>
      <c r="I5" s="169"/>
      <c r="J5" s="167">
        <f>SUM(D5:H5)</f>
        <v>2390491.8999999957</v>
      </c>
      <c r="K5" s="170"/>
      <c r="L5" s="171"/>
      <c r="M5" s="172"/>
      <c r="N5" s="172"/>
      <c r="O5" s="173">
        <f>J5+L5</f>
        <v>2390491.8999999957</v>
      </c>
      <c r="P5" s="168"/>
      <c r="Q5" s="167"/>
      <c r="R5" s="168"/>
      <c r="S5" s="173">
        <f>J5+Q5</f>
        <v>2390491.8999999957</v>
      </c>
      <c r="T5" s="168"/>
      <c r="U5" s="174"/>
      <c r="V5" s="168"/>
      <c r="W5" s="175">
        <f>S5-U5</f>
        <v>2390491.8999999957</v>
      </c>
    </row>
    <row r="6" spans="1:24" x14ac:dyDescent="0.2">
      <c r="A6" s="79"/>
      <c r="B6" s="35"/>
      <c r="C6" s="35"/>
      <c r="D6" s="167"/>
      <c r="E6" s="168"/>
      <c r="F6" s="173"/>
      <c r="G6" s="173"/>
      <c r="H6" s="173"/>
      <c r="I6" s="169"/>
      <c r="J6" s="167"/>
      <c r="K6" s="170"/>
      <c r="L6" s="171"/>
      <c r="M6" s="172"/>
      <c r="N6" s="172"/>
      <c r="O6" s="173"/>
      <c r="P6" s="168"/>
      <c r="Q6" s="167"/>
      <c r="R6" s="168"/>
      <c r="S6" s="173"/>
      <c r="T6" s="168"/>
      <c r="U6" s="174"/>
      <c r="V6" s="168"/>
      <c r="W6" s="175"/>
    </row>
    <row r="7" spans="1:24" x14ac:dyDescent="0.2">
      <c r="A7" s="6" t="s">
        <v>64</v>
      </c>
      <c r="D7" s="167">
        <f>'Revenue BreakOut'!X14</f>
        <v>42625384.670000002</v>
      </c>
      <c r="E7" s="168"/>
      <c r="F7" s="173">
        <f>F5</f>
        <v>-34000000</v>
      </c>
      <c r="G7" s="173"/>
      <c r="H7" s="173">
        <f>(8889380*0.773*0.5)*-1</f>
        <v>-3435745.37</v>
      </c>
      <c r="I7" s="168"/>
      <c r="J7" s="167">
        <f>SUM(D7:F7)</f>
        <v>8625384.6700000018</v>
      </c>
      <c r="K7" s="176"/>
      <c r="L7" s="177"/>
      <c r="M7" s="168"/>
      <c r="N7" s="168"/>
      <c r="O7" s="173">
        <f>J7+L7</f>
        <v>8625384.6700000018</v>
      </c>
      <c r="P7" s="168"/>
      <c r="Q7" s="167">
        <v>0</v>
      </c>
      <c r="R7" s="168"/>
      <c r="S7" s="173">
        <f t="shared" ref="S7" si="0">J7+Q7</f>
        <v>8625384.6700000018</v>
      </c>
      <c r="T7" s="168"/>
      <c r="U7" s="178"/>
      <c r="V7" s="168"/>
      <c r="W7" s="175">
        <f t="shared" ref="W7:W17" si="1">S7-U7</f>
        <v>8625384.6700000018</v>
      </c>
    </row>
    <row r="8" spans="1:24" x14ac:dyDescent="0.2">
      <c r="A8" s="22"/>
      <c r="B8" s="22"/>
      <c r="C8" s="22"/>
      <c r="D8" s="167"/>
      <c r="E8" s="177"/>
      <c r="F8" s="173"/>
      <c r="G8" s="173"/>
      <c r="H8" s="173"/>
      <c r="I8" s="247"/>
      <c r="J8" s="167"/>
      <c r="K8" s="180"/>
      <c r="L8" s="180"/>
      <c r="M8" s="171"/>
      <c r="N8" s="171"/>
      <c r="O8" s="181"/>
      <c r="P8" s="167"/>
      <c r="Q8" s="167"/>
      <c r="R8" s="167"/>
      <c r="S8" s="173"/>
      <c r="T8" s="167"/>
      <c r="U8" s="177"/>
      <c r="V8" s="167"/>
      <c r="W8" s="175"/>
    </row>
    <row r="9" spans="1:24" x14ac:dyDescent="0.2">
      <c r="A9" s="60" t="s">
        <v>135</v>
      </c>
      <c r="B9" s="22"/>
      <c r="C9" s="22"/>
      <c r="D9" s="167">
        <f>'Revenue BreakOut'!X16</f>
        <v>43704448.638499975</v>
      </c>
      <c r="E9" s="177"/>
      <c r="F9" s="173">
        <f>F5</f>
        <v>-34000000</v>
      </c>
      <c r="G9" s="173"/>
      <c r="H9" s="173">
        <f>(8889380*0.773*0.5)*-1</f>
        <v>-3435745.37</v>
      </c>
      <c r="I9" s="247"/>
      <c r="J9" s="167">
        <f>SUM(D9:F9)</f>
        <v>9704448.6384999752</v>
      </c>
      <c r="K9" s="180"/>
      <c r="L9" s="180"/>
      <c r="M9" s="171"/>
      <c r="N9" s="171"/>
      <c r="O9" s="173">
        <f>J9+L9</f>
        <v>9704448.6384999752</v>
      </c>
      <c r="P9" s="167"/>
      <c r="Q9" s="167">
        <v>0</v>
      </c>
      <c r="R9" s="167"/>
      <c r="S9" s="173">
        <f>J9+Q9</f>
        <v>9704448.6384999752</v>
      </c>
      <c r="T9" s="167"/>
      <c r="U9" s="177"/>
      <c r="V9" s="167"/>
      <c r="W9" s="175">
        <f t="shared" si="1"/>
        <v>9704448.6384999752</v>
      </c>
    </row>
    <row r="10" spans="1:24" x14ac:dyDescent="0.2">
      <c r="A10" s="22"/>
      <c r="B10" s="22"/>
      <c r="C10" s="22"/>
      <c r="D10" s="167"/>
      <c r="E10" s="177"/>
      <c r="F10" s="173"/>
      <c r="G10" s="173"/>
      <c r="H10" s="173"/>
      <c r="I10" s="247"/>
      <c r="J10" s="167"/>
      <c r="K10" s="180"/>
      <c r="L10" s="180"/>
      <c r="M10" s="171"/>
      <c r="N10" s="171"/>
      <c r="O10" s="181"/>
      <c r="P10" s="167"/>
      <c r="Q10" s="167"/>
      <c r="R10" s="167"/>
      <c r="S10" s="173" t="s">
        <v>1</v>
      </c>
      <c r="T10" s="167"/>
      <c r="U10" s="177"/>
      <c r="V10" s="167"/>
      <c r="W10" s="175"/>
    </row>
    <row r="11" spans="1:24" s="2" customFormat="1" x14ac:dyDescent="0.2">
      <c r="A11" s="6" t="s">
        <v>136</v>
      </c>
      <c r="D11" s="167">
        <f>'Revenue BreakOut'!X18</f>
        <v>43557728.61999999</v>
      </c>
      <c r="E11" s="167"/>
      <c r="F11" s="173">
        <f>F5</f>
        <v>-34000000</v>
      </c>
      <c r="G11" s="173"/>
      <c r="H11" s="173">
        <f>(8889380*0.773*0.5)*-1</f>
        <v>-3435745.37</v>
      </c>
      <c r="I11" s="182"/>
      <c r="J11" s="167">
        <f>SUM(D11:F11)</f>
        <v>9557728.6199999899</v>
      </c>
      <c r="K11" s="248"/>
      <c r="L11" s="248"/>
      <c r="M11" s="247"/>
      <c r="N11" s="247"/>
      <c r="O11" s="173">
        <f>J11+L11</f>
        <v>9557728.6199999899</v>
      </c>
      <c r="P11" s="167"/>
      <c r="Q11" s="167">
        <v>0</v>
      </c>
      <c r="R11" s="167"/>
      <c r="S11" s="173">
        <f>J11+Q11</f>
        <v>9557728.6199999899</v>
      </c>
      <c r="T11" s="177"/>
      <c r="U11" s="177"/>
      <c r="V11" s="167"/>
      <c r="W11" s="175">
        <f t="shared" si="1"/>
        <v>9557728.6199999899</v>
      </c>
    </row>
    <row r="12" spans="1:24" x14ac:dyDescent="0.2">
      <c r="A12" s="29"/>
      <c r="B12" s="28"/>
      <c r="C12" s="28"/>
      <c r="D12" s="167"/>
      <c r="E12" s="167"/>
      <c r="F12" s="175"/>
      <c r="G12" s="175"/>
      <c r="H12" s="175"/>
      <c r="I12" s="182"/>
      <c r="J12" s="167"/>
      <c r="K12" s="248"/>
      <c r="L12" s="248"/>
      <c r="M12" s="247"/>
      <c r="N12" s="247"/>
      <c r="O12" s="173"/>
      <c r="P12" s="167"/>
      <c r="Q12" s="167"/>
      <c r="R12" s="167"/>
      <c r="S12" s="173" t="s">
        <v>1</v>
      </c>
      <c r="T12" s="177"/>
      <c r="U12" s="177"/>
      <c r="V12" s="167"/>
      <c r="W12" s="175"/>
    </row>
    <row r="13" spans="1:24" s="2" customFormat="1" x14ac:dyDescent="0.2">
      <c r="A13" s="6" t="s">
        <v>137</v>
      </c>
      <c r="B13" s="28" t="s">
        <v>1</v>
      </c>
      <c r="C13" s="28"/>
      <c r="D13" s="167">
        <f>'Revenue BreakOut'!X20</f>
        <v>42990387.187499985</v>
      </c>
      <c r="E13" s="167"/>
      <c r="F13" s="173">
        <f>F5</f>
        <v>-34000000</v>
      </c>
      <c r="G13" s="173"/>
      <c r="H13" s="173">
        <f>(8889380*0.773*0.5)*-1</f>
        <v>-3435745.37</v>
      </c>
      <c r="I13" s="182"/>
      <c r="J13" s="167">
        <f>SUM(D13:I13)</f>
        <v>5554641.817499985</v>
      </c>
      <c r="K13" s="247"/>
      <c r="L13" s="248"/>
      <c r="M13" s="247"/>
      <c r="N13" s="247"/>
      <c r="O13" s="173">
        <f>J13+L13</f>
        <v>5554641.817499985</v>
      </c>
      <c r="P13" s="167"/>
      <c r="Q13" s="167">
        <v>0</v>
      </c>
      <c r="R13" s="167"/>
      <c r="S13" s="173">
        <f t="shared" ref="S13:S19" si="2">J13+Q13</f>
        <v>5554641.817499985</v>
      </c>
      <c r="T13" s="177"/>
      <c r="U13" s="177"/>
      <c r="V13" s="167"/>
      <c r="W13" s="175">
        <f t="shared" si="1"/>
        <v>5554641.817499985</v>
      </c>
      <c r="X13" s="6"/>
    </row>
    <row r="14" spans="1:24" x14ac:dyDescent="0.2">
      <c r="A14" s="29"/>
      <c r="B14" s="28"/>
      <c r="C14" s="28"/>
      <c r="D14" s="168"/>
      <c r="E14" s="168"/>
      <c r="F14" s="185"/>
      <c r="G14" s="185"/>
      <c r="H14" s="185"/>
      <c r="I14" s="183"/>
      <c r="J14" s="168"/>
      <c r="K14" s="176"/>
      <c r="L14" s="176"/>
      <c r="M14" s="169"/>
      <c r="N14" s="169"/>
      <c r="O14" s="184"/>
      <c r="P14" s="168"/>
      <c r="Q14" s="168"/>
      <c r="R14" s="168"/>
      <c r="S14" s="184" t="s">
        <v>1</v>
      </c>
      <c r="T14" s="179"/>
      <c r="U14" s="179"/>
      <c r="V14" s="168"/>
      <c r="W14" s="185"/>
    </row>
    <row r="15" spans="1:24" x14ac:dyDescent="0.2">
      <c r="A15" s="6" t="s">
        <v>138</v>
      </c>
      <c r="B15" s="6"/>
      <c r="C15" s="2"/>
      <c r="D15" s="167">
        <f>'Revenue BreakOut'!X22</f>
        <v>42179283.850000009</v>
      </c>
      <c r="E15" s="167"/>
      <c r="F15" s="173">
        <f>F5</f>
        <v>-34000000</v>
      </c>
      <c r="G15" s="173"/>
      <c r="H15" s="173">
        <f>(8889380*0.773*0.5)*-1</f>
        <v>-3435745.37</v>
      </c>
      <c r="I15" s="182"/>
      <c r="J15" s="186">
        <f>SUM(D15:I15)</f>
        <v>4743538.4800000088</v>
      </c>
      <c r="K15" s="249"/>
      <c r="L15" s="249"/>
      <c r="M15" s="249"/>
      <c r="N15" s="250"/>
      <c r="O15" s="173">
        <f>J15+L15</f>
        <v>4743538.4800000088</v>
      </c>
      <c r="P15" s="167"/>
      <c r="Q15" s="167">
        <v>0</v>
      </c>
      <c r="R15" s="186"/>
      <c r="S15" s="173">
        <f t="shared" si="2"/>
        <v>4743538.4800000088</v>
      </c>
      <c r="T15" s="177"/>
      <c r="U15" s="177"/>
      <c r="V15" s="167"/>
      <c r="W15" s="175">
        <f t="shared" si="1"/>
        <v>4743538.4800000088</v>
      </c>
    </row>
    <row r="16" spans="1:24" x14ac:dyDescent="0.2">
      <c r="B16" s="251"/>
      <c r="C16" s="2"/>
      <c r="D16" s="167"/>
      <c r="E16" s="167"/>
      <c r="F16" s="173"/>
      <c r="G16" s="173"/>
      <c r="H16" s="173"/>
      <c r="I16" s="182"/>
      <c r="J16" s="186"/>
      <c r="K16" s="249"/>
      <c r="L16" s="249"/>
      <c r="M16" s="249"/>
      <c r="N16" s="249"/>
      <c r="O16" s="252"/>
      <c r="P16" s="167"/>
      <c r="Q16" s="167"/>
      <c r="R16" s="167"/>
      <c r="S16" s="173" t="s">
        <v>1</v>
      </c>
      <c r="T16" s="177"/>
      <c r="U16" s="177"/>
      <c r="V16" s="167"/>
      <c r="W16" s="175"/>
    </row>
    <row r="17" spans="1:25" s="2" customFormat="1" x14ac:dyDescent="0.2">
      <c r="A17" s="6" t="s">
        <v>139</v>
      </c>
      <c r="B17" s="6"/>
      <c r="D17" s="167">
        <f>'Revenue BreakOut'!X24</f>
        <v>41872799.00999999</v>
      </c>
      <c r="E17" s="167"/>
      <c r="F17" s="173">
        <f>F5</f>
        <v>-34000000</v>
      </c>
      <c r="G17" s="173"/>
      <c r="H17" s="173">
        <f>(8889380*0.773*0.5)*-1</f>
        <v>-3435745.37</v>
      </c>
      <c r="I17" s="182"/>
      <c r="J17" s="186">
        <f>SUM(D17:I17)</f>
        <v>4437053.6399999904</v>
      </c>
      <c r="K17" s="249"/>
      <c r="L17" s="250"/>
      <c r="M17" s="249"/>
      <c r="N17" s="250"/>
      <c r="O17" s="173">
        <f>J17+L17</f>
        <v>4437053.6399999904</v>
      </c>
      <c r="P17" s="167"/>
      <c r="Q17" s="167">
        <v>0</v>
      </c>
      <c r="R17" s="167"/>
      <c r="S17" s="173">
        <f t="shared" si="2"/>
        <v>4437053.6399999904</v>
      </c>
      <c r="T17" s="177"/>
      <c r="U17" s="177"/>
      <c r="V17" s="167"/>
      <c r="W17" s="175">
        <f t="shared" si="1"/>
        <v>4437053.6399999904</v>
      </c>
    </row>
    <row r="18" spans="1:25" x14ac:dyDescent="0.2">
      <c r="B18" s="251"/>
      <c r="C18" s="2"/>
      <c r="D18" s="167"/>
      <c r="E18" s="167"/>
      <c r="F18" s="173"/>
      <c r="G18" s="173"/>
      <c r="H18" s="173"/>
      <c r="I18" s="182"/>
      <c r="J18" s="186"/>
      <c r="K18" s="249"/>
      <c r="L18" s="250"/>
      <c r="M18" s="249"/>
      <c r="N18" s="250"/>
      <c r="O18" s="252"/>
      <c r="P18" s="167"/>
      <c r="Q18" s="167"/>
      <c r="R18" s="167"/>
      <c r="S18" s="173" t="s">
        <v>1</v>
      </c>
      <c r="T18" s="177"/>
      <c r="U18" s="177"/>
      <c r="V18" s="167"/>
      <c r="W18" s="175"/>
    </row>
    <row r="19" spans="1:25" x14ac:dyDescent="0.2">
      <c r="A19" s="6" t="s">
        <v>140</v>
      </c>
      <c r="B19" s="2"/>
      <c r="C19" s="2"/>
      <c r="D19" s="167">
        <f>'Revenue BreakOut'!X26</f>
        <v>41334898.709999993</v>
      </c>
      <c r="E19" s="167"/>
      <c r="F19" s="173">
        <f>F5</f>
        <v>-34000000</v>
      </c>
      <c r="G19" s="173"/>
      <c r="H19" s="173">
        <f>(8889380*0.773*0.5)*-1</f>
        <v>-3435745.37</v>
      </c>
      <c r="I19" s="182"/>
      <c r="J19" s="186">
        <f t="shared" ref="J19" si="3">SUM(D19:I19)</f>
        <v>3899153.3399999933</v>
      </c>
      <c r="K19" s="249"/>
      <c r="L19" s="249"/>
      <c r="M19" s="249"/>
      <c r="N19" s="250"/>
      <c r="O19" s="173">
        <f>J19+L19</f>
        <v>3899153.3399999933</v>
      </c>
      <c r="P19" s="167"/>
      <c r="Q19" s="167">
        <v>0</v>
      </c>
      <c r="R19" s="167"/>
      <c r="S19" s="173">
        <f t="shared" si="2"/>
        <v>3899153.3399999933</v>
      </c>
      <c r="T19" s="177"/>
      <c r="U19" s="177">
        <v>8924056</v>
      </c>
      <c r="V19" s="167"/>
      <c r="W19" s="175">
        <f>S19-U19</f>
        <v>-5024902.6600000067</v>
      </c>
      <c r="X19" s="28" t="s">
        <v>1</v>
      </c>
    </row>
    <row r="20" spans="1:25" x14ac:dyDescent="0.2">
      <c r="A20" s="80"/>
      <c r="B20" s="115"/>
      <c r="C20" s="53"/>
      <c r="D20" s="189"/>
      <c r="E20" s="190"/>
      <c r="F20" s="191"/>
      <c r="G20" s="191"/>
      <c r="H20" s="191"/>
      <c r="I20" s="192"/>
      <c r="J20" s="189"/>
      <c r="K20" s="193"/>
      <c r="L20" s="194"/>
      <c r="M20" s="195"/>
      <c r="N20" s="195"/>
      <c r="O20" s="189"/>
      <c r="P20" s="196"/>
      <c r="Q20" s="197"/>
      <c r="R20" s="196"/>
      <c r="S20" s="189"/>
      <c r="T20" s="196"/>
      <c r="U20" s="198"/>
      <c r="V20" s="199"/>
      <c r="W20" s="200"/>
    </row>
    <row r="21" spans="1:25" x14ac:dyDescent="0.2">
      <c r="D21" s="167"/>
      <c r="E21" s="168"/>
      <c r="F21" s="167"/>
      <c r="G21" s="167"/>
      <c r="H21" s="167"/>
      <c r="I21" s="168"/>
      <c r="J21" s="167"/>
      <c r="K21" s="176"/>
      <c r="L21" s="177"/>
      <c r="M21" s="168"/>
      <c r="N21" s="168"/>
      <c r="O21" s="167"/>
      <c r="P21" s="168"/>
      <c r="Q21" s="201"/>
      <c r="R21" s="168"/>
      <c r="S21" s="167"/>
      <c r="T21" s="168"/>
      <c r="U21" s="178"/>
      <c r="V21" s="168"/>
      <c r="W21" s="167"/>
    </row>
    <row r="22" spans="1:25" x14ac:dyDescent="0.2">
      <c r="A22" s="6" t="s">
        <v>32</v>
      </c>
      <c r="D22" s="167">
        <f>'Revenue BreakOut'!X29</f>
        <v>2924373.6299999985</v>
      </c>
      <c r="E22" s="168"/>
      <c r="F22" s="167">
        <f>-(8328840*0.15)</f>
        <v>-1249326</v>
      </c>
      <c r="G22" s="167"/>
      <c r="H22" s="173">
        <f>(8889380*0.007*0.5)*-1</f>
        <v>-31112.83</v>
      </c>
      <c r="I22" s="168"/>
      <c r="J22" s="167">
        <f>SUM(D22:F22)</f>
        <v>1675047.6299999985</v>
      </c>
      <c r="K22" s="176"/>
      <c r="L22" s="177"/>
      <c r="M22" s="168"/>
      <c r="N22" s="168"/>
      <c r="O22" s="167">
        <f>SUM(J22:N22)</f>
        <v>1675047.6299999985</v>
      </c>
      <c r="P22" s="168"/>
      <c r="Q22" s="167"/>
      <c r="R22" s="168"/>
      <c r="S22" s="167">
        <f>SUM(O22:R22)</f>
        <v>1675047.6299999985</v>
      </c>
      <c r="T22" s="168"/>
      <c r="U22" s="178">
        <v>0</v>
      </c>
      <c r="V22" s="168"/>
      <c r="W22" s="167">
        <f>S22-U22</f>
        <v>1675047.6299999985</v>
      </c>
    </row>
    <row r="23" spans="1:25" x14ac:dyDescent="0.2">
      <c r="D23" s="167" t="s">
        <v>1</v>
      </c>
      <c r="E23" s="187"/>
      <c r="F23" s="186"/>
      <c r="G23" s="186"/>
      <c r="H23" s="186"/>
      <c r="I23" s="187"/>
      <c r="J23" s="186"/>
      <c r="K23" s="202"/>
      <c r="L23" s="203"/>
      <c r="M23" s="187"/>
      <c r="N23" s="187"/>
      <c r="O23" s="186"/>
      <c r="P23" s="187"/>
      <c r="Q23" s="186"/>
      <c r="R23" s="187"/>
      <c r="S23" s="186"/>
      <c r="T23" s="187"/>
      <c r="U23" s="204"/>
      <c r="V23" s="187"/>
      <c r="W23" s="167"/>
    </row>
    <row r="24" spans="1:25" ht="12.75" customHeight="1" x14ac:dyDescent="0.2">
      <c r="A24" s="6" t="s">
        <v>57</v>
      </c>
      <c r="D24" s="167">
        <f>'Revenue BreakOut'!X31</f>
        <v>5246978.6999999993</v>
      </c>
      <c r="E24" s="187"/>
      <c r="F24" s="167">
        <f>-(4988490*0.15)</f>
        <v>-748273.5</v>
      </c>
      <c r="G24" s="167"/>
      <c r="H24" s="167">
        <v>0</v>
      </c>
      <c r="I24" s="187"/>
      <c r="J24" s="167">
        <f>SUM(D24:F24)</f>
        <v>4498705.1999999993</v>
      </c>
      <c r="K24" s="176"/>
      <c r="L24" s="203"/>
      <c r="M24" s="187"/>
      <c r="N24" s="187"/>
      <c r="O24" s="173" t="s">
        <v>58</v>
      </c>
      <c r="P24" s="168"/>
      <c r="Q24" s="173"/>
      <c r="R24" s="187"/>
      <c r="S24" s="173" t="s">
        <v>58</v>
      </c>
      <c r="T24" s="187"/>
      <c r="U24" s="204"/>
      <c r="V24" s="205"/>
      <c r="W24" s="167"/>
    </row>
    <row r="25" spans="1:25" s="37" customFormat="1" ht="12.75" customHeight="1" x14ac:dyDescent="0.2">
      <c r="A25" s="65"/>
      <c r="B25" s="36"/>
      <c r="C25" s="32"/>
      <c r="D25" s="206"/>
      <c r="E25" s="207"/>
      <c r="F25" s="208"/>
      <c r="G25" s="208"/>
      <c r="H25" s="208"/>
      <c r="I25" s="207"/>
      <c r="J25" s="206"/>
      <c r="K25" s="209"/>
      <c r="L25" s="208"/>
      <c r="M25" s="207"/>
      <c r="N25" s="207"/>
      <c r="O25" s="206"/>
      <c r="P25" s="210"/>
      <c r="Q25" s="211"/>
      <c r="R25" s="207"/>
      <c r="S25" s="206"/>
      <c r="T25" s="207"/>
      <c r="U25" s="212"/>
      <c r="V25" s="207"/>
      <c r="W25" s="167"/>
    </row>
    <row r="26" spans="1:25" x14ac:dyDescent="0.2">
      <c r="A26" s="6" t="s">
        <v>33</v>
      </c>
      <c r="D26" s="167">
        <f>'Revenue BreakOut'!X33</f>
        <v>1290368.4900000002</v>
      </c>
      <c r="E26" s="168"/>
      <c r="F26" s="167">
        <f>-(1722031*0.15)</f>
        <v>-258304.65</v>
      </c>
      <c r="G26" s="167"/>
      <c r="H26" s="173">
        <f>(8889380*0.0023*0.5)*-1</f>
        <v>-10222.787</v>
      </c>
      <c r="I26" s="168"/>
      <c r="J26" s="167">
        <f>SUM(D26:F26)</f>
        <v>1032063.8400000002</v>
      </c>
      <c r="K26" s="176"/>
      <c r="L26" s="177"/>
      <c r="M26" s="168"/>
      <c r="N26" s="168"/>
      <c r="O26" s="167">
        <f>SUM(J26:N26)</f>
        <v>1032063.8400000002</v>
      </c>
      <c r="P26" s="168"/>
      <c r="Q26" s="167"/>
      <c r="R26" s="168"/>
      <c r="S26" s="167">
        <f>SUM(O26:R26)</f>
        <v>1032063.8400000002</v>
      </c>
      <c r="T26" s="168"/>
      <c r="U26" s="178">
        <v>330000</v>
      </c>
      <c r="V26" s="168"/>
      <c r="W26" s="167">
        <f t="shared" ref="W26:W60" si="4">S26-U26</f>
        <v>702063.8400000002</v>
      </c>
    </row>
    <row r="27" spans="1:25" s="32" customFormat="1" x14ac:dyDescent="0.2">
      <c r="A27" s="65"/>
      <c r="B27" s="36"/>
      <c r="D27" s="213"/>
      <c r="E27" s="214"/>
      <c r="F27" s="213"/>
      <c r="G27" s="213"/>
      <c r="H27" s="213"/>
      <c r="I27" s="214"/>
      <c r="J27" s="213"/>
      <c r="K27" s="215"/>
      <c r="L27" s="213"/>
      <c r="M27" s="214"/>
      <c r="N27" s="214"/>
      <c r="O27" s="213"/>
      <c r="P27" s="214"/>
      <c r="Q27" s="213"/>
      <c r="R27" s="214"/>
      <c r="S27" s="213"/>
      <c r="T27" s="214"/>
      <c r="U27" s="216"/>
      <c r="V27" s="214"/>
      <c r="W27" s="167"/>
    </row>
    <row r="28" spans="1:25" x14ac:dyDescent="0.2">
      <c r="A28" s="6" t="s">
        <v>34</v>
      </c>
      <c r="D28" s="167">
        <f>'Revenue BreakOut'!X35</f>
        <v>1319750.7400000002</v>
      </c>
      <c r="E28" s="168"/>
      <c r="F28" s="167">
        <f>-(2023706*0.15)</f>
        <v>-303555.89999999997</v>
      </c>
      <c r="G28" s="167"/>
      <c r="H28" s="173">
        <f>(8889380*0.004*0.5)*-1</f>
        <v>-17778.760000000002</v>
      </c>
      <c r="I28" s="168"/>
      <c r="J28" s="167">
        <f>SUM(D28:F28)</f>
        <v>1016194.8400000003</v>
      </c>
      <c r="K28" s="176"/>
      <c r="L28" s="177"/>
      <c r="M28" s="168"/>
      <c r="N28" s="187"/>
      <c r="O28" s="167">
        <f>SUM(J28:N28)</f>
        <v>1016194.8400000003</v>
      </c>
      <c r="P28" s="168"/>
      <c r="Q28" s="167"/>
      <c r="R28" s="168"/>
      <c r="S28" s="167">
        <f>SUM(O28:R28)</f>
        <v>1016194.8400000003</v>
      </c>
      <c r="T28" s="168"/>
      <c r="U28" s="178">
        <v>0</v>
      </c>
      <c r="V28" s="168"/>
      <c r="W28" s="167">
        <f t="shared" si="4"/>
        <v>1016194.8400000003</v>
      </c>
    </row>
    <row r="29" spans="1:25" s="37" customFormat="1" x14ac:dyDescent="0.2">
      <c r="A29" s="253"/>
      <c r="B29" s="253"/>
      <c r="C29" s="32"/>
      <c r="D29" s="206"/>
      <c r="E29" s="210"/>
      <c r="F29" s="206"/>
      <c r="G29" s="206"/>
      <c r="H29" s="206"/>
      <c r="I29" s="210"/>
      <c r="J29" s="206"/>
      <c r="K29" s="209"/>
      <c r="L29" s="177"/>
      <c r="M29" s="210"/>
      <c r="N29" s="210"/>
      <c r="O29" s="206"/>
      <c r="P29" s="210"/>
      <c r="Q29" s="206"/>
      <c r="R29" s="210"/>
      <c r="S29" s="206"/>
      <c r="T29" s="210"/>
      <c r="U29" s="217"/>
      <c r="V29" s="210"/>
      <c r="W29" s="167"/>
    </row>
    <row r="30" spans="1:25" x14ac:dyDescent="0.2">
      <c r="A30" s="6" t="s">
        <v>35</v>
      </c>
      <c r="D30" s="167">
        <f>'Revenue BreakOut'!X37</f>
        <v>1260167.93</v>
      </c>
      <c r="E30" s="168"/>
      <c r="F30" s="167">
        <f>-(5380330*0.15)</f>
        <v>-807049.5</v>
      </c>
      <c r="G30" s="167"/>
      <c r="H30" s="173">
        <f>(8889380*0.022*0.5)*-1</f>
        <v>-97783.18</v>
      </c>
      <c r="I30" s="168"/>
      <c r="J30" s="167">
        <f>SUM(D30:F30)</f>
        <v>453118.42999999993</v>
      </c>
      <c r="K30" s="176"/>
      <c r="L30" s="177"/>
      <c r="M30" s="168"/>
      <c r="N30" s="168"/>
      <c r="O30" s="167">
        <f>SUM(J30:N30)</f>
        <v>453118.42999999993</v>
      </c>
      <c r="P30" s="168"/>
      <c r="Q30" s="167"/>
      <c r="R30" s="168"/>
      <c r="S30" s="167">
        <f>SUM(O30:R30)</f>
        <v>453118.42999999993</v>
      </c>
      <c r="T30" s="168"/>
      <c r="U30" s="178">
        <v>103248</v>
      </c>
      <c r="V30" s="168"/>
      <c r="W30" s="167">
        <f t="shared" si="4"/>
        <v>349870.42999999993</v>
      </c>
    </row>
    <row r="31" spans="1:25" x14ac:dyDescent="0.2">
      <c r="D31" s="167" t="s">
        <v>1</v>
      </c>
      <c r="E31" s="168"/>
      <c r="F31" s="167"/>
      <c r="G31" s="167"/>
      <c r="H31" s="167"/>
      <c r="I31" s="168"/>
      <c r="J31" s="167"/>
      <c r="K31" s="176"/>
      <c r="L31" s="177"/>
      <c r="M31" s="168"/>
      <c r="N31" s="168"/>
      <c r="O31" s="167"/>
      <c r="P31" s="168"/>
      <c r="Q31" s="167"/>
      <c r="R31" s="168"/>
      <c r="S31" s="167"/>
      <c r="T31" s="168"/>
      <c r="U31" s="178"/>
      <c r="V31" s="168"/>
      <c r="W31" s="167"/>
    </row>
    <row r="32" spans="1:25" x14ac:dyDescent="0.2">
      <c r="A32" s="6" t="s">
        <v>36</v>
      </c>
      <c r="D32" s="167">
        <f>'Revenue BreakOut'!X39</f>
        <v>113239.44</v>
      </c>
      <c r="E32" s="168"/>
      <c r="F32" s="167">
        <f>-(39080*0.15)</f>
        <v>-5862</v>
      </c>
      <c r="G32" s="167"/>
      <c r="H32" s="167">
        <v>0</v>
      </c>
      <c r="I32" s="168"/>
      <c r="J32" s="167">
        <f>SUM(D32:F32)</f>
        <v>107377.44</v>
      </c>
      <c r="K32" s="176"/>
      <c r="L32" s="177"/>
      <c r="M32" s="168"/>
      <c r="N32" s="168"/>
      <c r="O32" s="167">
        <f>SUM(J32:N32)</f>
        <v>107377.44</v>
      </c>
      <c r="P32" s="168"/>
      <c r="Q32" s="167"/>
      <c r="R32" s="168"/>
      <c r="S32" s="167">
        <f>SUM(O32:R32)</f>
        <v>107377.44</v>
      </c>
      <c r="T32" s="168"/>
      <c r="U32" s="178">
        <v>0</v>
      </c>
      <c r="V32" s="168"/>
      <c r="W32" s="167">
        <f t="shared" si="4"/>
        <v>107377.44</v>
      </c>
      <c r="Y32" s="31"/>
    </row>
    <row r="33" spans="1:25" x14ac:dyDescent="0.2">
      <c r="D33" s="167" t="s">
        <v>1</v>
      </c>
      <c r="E33" s="168"/>
      <c r="F33" s="167"/>
      <c r="G33" s="167"/>
      <c r="H33" s="167"/>
      <c r="I33" s="168"/>
      <c r="J33" s="167"/>
      <c r="K33" s="176"/>
      <c r="L33" s="177"/>
      <c r="M33" s="168"/>
      <c r="N33" s="168"/>
      <c r="O33" s="167"/>
      <c r="P33" s="168"/>
      <c r="Q33" s="167"/>
      <c r="R33" s="168"/>
      <c r="S33" s="167"/>
      <c r="T33" s="168"/>
      <c r="U33" s="178"/>
      <c r="V33" s="168"/>
      <c r="W33" s="167"/>
    </row>
    <row r="34" spans="1:25" x14ac:dyDescent="0.2">
      <c r="A34" s="6" t="s">
        <v>37</v>
      </c>
      <c r="D34" s="167">
        <f>'Revenue BreakOut'!X41</f>
        <v>1920688.6399999997</v>
      </c>
      <c r="E34" s="168"/>
      <c r="F34" s="167">
        <f>-(1002442*0.15)</f>
        <v>-150366.29999999999</v>
      </c>
      <c r="G34" s="167"/>
      <c r="H34" s="173">
        <f>(8889380*0.0023*0.5)*-1</f>
        <v>-10222.787</v>
      </c>
      <c r="I34" s="184"/>
      <c r="J34" s="167">
        <f>SUM(D34:F34)</f>
        <v>1770322.3399999996</v>
      </c>
      <c r="K34" s="176"/>
      <c r="L34" s="175"/>
      <c r="M34" s="168"/>
      <c r="N34" s="168"/>
      <c r="O34" s="167">
        <f>SUM(J34:N34)</f>
        <v>1770322.3399999996</v>
      </c>
      <c r="P34" s="168"/>
      <c r="Q34" s="167"/>
      <c r="R34" s="168"/>
      <c r="S34" s="167">
        <f>SUM(O34:R34)</f>
        <v>1770322.3399999996</v>
      </c>
      <c r="T34" s="168"/>
      <c r="U34" s="178">
        <v>696478</v>
      </c>
      <c r="V34" s="168"/>
      <c r="W34" s="167">
        <f t="shared" si="4"/>
        <v>1073844.3399999996</v>
      </c>
    </row>
    <row r="35" spans="1:25" x14ac:dyDescent="0.2">
      <c r="D35" s="167" t="s">
        <v>1</v>
      </c>
      <c r="E35" s="168"/>
      <c r="F35" s="167"/>
      <c r="G35" s="167"/>
      <c r="H35" s="167"/>
      <c r="I35" s="168"/>
      <c r="J35" s="167"/>
      <c r="K35" s="176"/>
      <c r="L35" s="177"/>
      <c r="M35" s="168"/>
      <c r="N35" s="168"/>
      <c r="O35" s="167"/>
      <c r="P35" s="168"/>
      <c r="Q35" s="167"/>
      <c r="R35" s="168"/>
      <c r="S35" s="167"/>
      <c r="T35" s="168"/>
      <c r="U35" s="178"/>
      <c r="V35" s="168"/>
      <c r="W35" s="167"/>
    </row>
    <row r="36" spans="1:25" x14ac:dyDescent="0.2">
      <c r="A36" s="6" t="s">
        <v>59</v>
      </c>
      <c r="D36" s="167">
        <f>'Revenue BreakOut'!X43</f>
        <v>7723146.2200000007</v>
      </c>
      <c r="E36" s="168"/>
      <c r="F36" s="167">
        <f>-(20819525*0.15)</f>
        <v>-3122928.75</v>
      </c>
      <c r="G36" s="167"/>
      <c r="H36" s="173">
        <f>(8889380*0.07*0.5)*-1</f>
        <v>-311128.30000000005</v>
      </c>
      <c r="I36" s="168"/>
      <c r="J36" s="167">
        <f>SUM(D36:F36)</f>
        <v>4600217.4700000007</v>
      </c>
      <c r="K36" s="176"/>
      <c r="L36" s="177"/>
      <c r="M36" s="168"/>
      <c r="N36" s="168"/>
      <c r="O36" s="167">
        <f>SUM(J36:N36)</f>
        <v>4600217.4700000007</v>
      </c>
      <c r="P36" s="184"/>
      <c r="Q36" s="173"/>
      <c r="R36" s="184"/>
      <c r="S36" s="167">
        <f>SUM(O36:R36)</f>
        <v>4600217.4700000007</v>
      </c>
      <c r="T36" s="188"/>
      <c r="U36" s="204">
        <f>195000+667830</f>
        <v>862830</v>
      </c>
      <c r="V36" s="187"/>
      <c r="W36" s="167">
        <f t="shared" si="4"/>
        <v>3737387.4700000007</v>
      </c>
    </row>
    <row r="37" spans="1:25" x14ac:dyDescent="0.2">
      <c r="D37" s="167" t="s">
        <v>1</v>
      </c>
      <c r="E37" s="168"/>
      <c r="F37" s="167"/>
      <c r="G37" s="167"/>
      <c r="H37" s="167"/>
      <c r="I37" s="168"/>
      <c r="J37" s="167"/>
      <c r="K37" s="176"/>
      <c r="L37" s="177"/>
      <c r="M37" s="168"/>
      <c r="N37" s="168"/>
      <c r="O37" s="167"/>
      <c r="P37" s="168"/>
      <c r="Q37" s="167"/>
      <c r="R37" s="168"/>
      <c r="S37" s="186"/>
      <c r="T37" s="187"/>
      <c r="U37" s="204"/>
      <c r="V37" s="205"/>
      <c r="W37" s="167"/>
    </row>
    <row r="38" spans="1:25" x14ac:dyDescent="0.2">
      <c r="A38" s="6" t="s">
        <v>38</v>
      </c>
      <c r="D38" s="167">
        <f>'Revenue BreakOut'!X45</f>
        <v>8130799.3199999966</v>
      </c>
      <c r="E38" s="168"/>
      <c r="F38" s="167">
        <f>-(25203922*0.15)</f>
        <v>-3780588.3</v>
      </c>
      <c r="G38" s="167"/>
      <c r="H38" s="173">
        <f>(8889380*0.0845*0.5)*-1</f>
        <v>-375576.30500000005</v>
      </c>
      <c r="I38" s="168"/>
      <c r="J38" s="167">
        <f>SUM(D38:F38)</f>
        <v>4350211.0199999968</v>
      </c>
      <c r="K38" s="176"/>
      <c r="L38" s="177"/>
      <c r="M38" s="168"/>
      <c r="N38" s="168"/>
      <c r="O38" s="167">
        <f>SUM(J38:N38)</f>
        <v>4350211.0199999968</v>
      </c>
      <c r="P38" s="168"/>
      <c r="Q38" s="167"/>
      <c r="R38" s="168"/>
      <c r="S38" s="167">
        <f>SUM(O38:R38)</f>
        <v>4350211.0199999968</v>
      </c>
      <c r="T38" s="187"/>
      <c r="U38" s="204">
        <v>3907102</v>
      </c>
      <c r="V38" s="187"/>
      <c r="W38" s="167">
        <f t="shared" si="4"/>
        <v>443109.01999999676</v>
      </c>
    </row>
    <row r="39" spans="1:25" x14ac:dyDescent="0.2">
      <c r="D39" s="167" t="s">
        <v>1</v>
      </c>
      <c r="E39" s="168"/>
      <c r="F39" s="167"/>
      <c r="G39" s="167"/>
      <c r="H39" s="167"/>
      <c r="I39" s="168"/>
      <c r="J39" s="167"/>
      <c r="K39" s="176"/>
      <c r="L39" s="177"/>
      <c r="M39" s="168"/>
      <c r="N39" s="168"/>
      <c r="O39" s="167"/>
      <c r="P39" s="168"/>
      <c r="Q39" s="167"/>
      <c r="R39" s="168"/>
      <c r="S39" s="186"/>
      <c r="T39" s="187"/>
      <c r="U39" s="204"/>
      <c r="V39" s="187"/>
      <c r="W39" s="167"/>
    </row>
    <row r="40" spans="1:25" x14ac:dyDescent="0.2">
      <c r="A40" s="6" t="s">
        <v>39</v>
      </c>
      <c r="D40" s="167">
        <f>'Revenue BreakOut'!X47</f>
        <v>312957.52999999997</v>
      </c>
      <c r="E40" s="168"/>
      <c r="F40" s="167">
        <f>-(306671*0.15)</f>
        <v>-46000.65</v>
      </c>
      <c r="G40" s="167"/>
      <c r="H40" s="167">
        <v>0</v>
      </c>
      <c r="I40" s="168"/>
      <c r="J40" s="167">
        <f>SUM(D40:F40)</f>
        <v>266956.87999999995</v>
      </c>
      <c r="K40" s="176"/>
      <c r="L40" s="177"/>
      <c r="M40" s="168"/>
      <c r="N40" s="168"/>
      <c r="O40" s="167">
        <f>SUM(J40:N40)</f>
        <v>266956.87999999995</v>
      </c>
      <c r="P40" s="168"/>
      <c r="Q40" s="167"/>
      <c r="R40" s="168"/>
      <c r="S40" s="167">
        <f>SUM(O40:R40)</f>
        <v>266956.87999999995</v>
      </c>
      <c r="T40" s="187"/>
      <c r="U40" s="204">
        <v>0</v>
      </c>
      <c r="V40" s="187"/>
      <c r="W40" s="167">
        <f t="shared" si="4"/>
        <v>266956.87999999995</v>
      </c>
    </row>
    <row r="41" spans="1:25" x14ac:dyDescent="0.2">
      <c r="D41" s="167" t="s">
        <v>1</v>
      </c>
      <c r="E41" s="168"/>
      <c r="F41" s="167"/>
      <c r="G41" s="167"/>
      <c r="H41" s="167"/>
      <c r="I41" s="218"/>
      <c r="J41" s="167"/>
      <c r="K41" s="176"/>
      <c r="L41" s="177"/>
      <c r="M41" s="168"/>
      <c r="N41" s="168"/>
      <c r="O41" s="167"/>
      <c r="P41" s="168"/>
      <c r="Q41" s="167"/>
      <c r="R41" s="168"/>
      <c r="S41" s="167"/>
      <c r="T41" s="187"/>
      <c r="U41" s="204"/>
      <c r="V41" s="187"/>
      <c r="W41" s="167"/>
      <c r="Y41" s="31"/>
    </row>
    <row r="42" spans="1:25" x14ac:dyDescent="0.2">
      <c r="A42" s="6" t="s">
        <v>40</v>
      </c>
      <c r="D42" s="167">
        <f>'Revenue BreakOut'!X49</f>
        <v>1945383.1599999992</v>
      </c>
      <c r="E42" s="168"/>
      <c r="F42" s="167">
        <f>-(7237586*0.15)</f>
        <v>-1085637.8999999999</v>
      </c>
      <c r="G42" s="167"/>
      <c r="H42" s="173">
        <f>(8889380*0.001*0.5)*-1</f>
        <v>-4444.6900000000005</v>
      </c>
      <c r="I42" s="168"/>
      <c r="J42" s="167">
        <f>SUM(D42:F42)</f>
        <v>859745.25999999931</v>
      </c>
      <c r="K42" s="176"/>
      <c r="L42" s="177"/>
      <c r="M42" s="168"/>
      <c r="N42" s="168"/>
      <c r="O42" s="167">
        <f t="shared" ref="O42" si="5">SUM(J42:N42)</f>
        <v>859745.25999999931</v>
      </c>
      <c r="P42" s="168"/>
      <c r="Q42" s="167"/>
      <c r="R42" s="168"/>
      <c r="S42" s="167">
        <f t="shared" ref="S42:S52" si="6">SUM(O42:R42)</f>
        <v>859745.25999999931</v>
      </c>
      <c r="T42" s="187"/>
      <c r="U42" s="204">
        <v>257765</v>
      </c>
      <c r="V42" s="187"/>
      <c r="W42" s="167">
        <f t="shared" si="4"/>
        <v>601980.25999999931</v>
      </c>
    </row>
    <row r="43" spans="1:25" x14ac:dyDescent="0.2">
      <c r="D43" s="167"/>
      <c r="E43" s="168"/>
      <c r="F43" s="167"/>
      <c r="G43" s="167"/>
      <c r="H43" s="167"/>
      <c r="I43" s="168"/>
      <c r="J43" s="167"/>
      <c r="K43" s="176"/>
      <c r="L43" s="177"/>
      <c r="M43" s="168"/>
      <c r="N43" s="168"/>
      <c r="O43" s="167" t="s">
        <v>1</v>
      </c>
      <c r="P43" s="168"/>
      <c r="Q43" s="167"/>
      <c r="R43" s="168"/>
      <c r="S43" s="167"/>
      <c r="T43" s="187"/>
      <c r="U43" s="204"/>
      <c r="V43" s="205"/>
      <c r="W43" s="167"/>
    </row>
    <row r="44" spans="1:25" x14ac:dyDescent="0.2">
      <c r="A44" s="6" t="s">
        <v>125</v>
      </c>
      <c r="D44" s="167">
        <f>'Revenue BreakOut'!X51</f>
        <v>31424563.529999997</v>
      </c>
      <c r="E44" s="168"/>
      <c r="F44" s="167">
        <f>-(23323353*0.15)</f>
        <v>-3498502.9499999997</v>
      </c>
      <c r="G44" s="167"/>
      <c r="H44" s="173">
        <f>(8889380*0.016*0.5)*-1</f>
        <v>-71115.040000000008</v>
      </c>
      <c r="I44" s="168"/>
      <c r="J44" s="167">
        <f>SUM(D44:F44)</f>
        <v>27926060.579999998</v>
      </c>
      <c r="K44" s="176"/>
      <c r="L44" s="177"/>
      <c r="M44" s="184"/>
      <c r="N44" s="184"/>
      <c r="O44" s="167">
        <f>SUM(J44:N44)</f>
        <v>27926060.579999998</v>
      </c>
      <c r="P44" s="168"/>
      <c r="Q44" s="167"/>
      <c r="R44" s="168"/>
      <c r="S44" s="167">
        <f t="shared" si="6"/>
        <v>27926060.579999998</v>
      </c>
      <c r="T44" s="187"/>
      <c r="U44" s="204">
        <v>0</v>
      </c>
      <c r="V44" s="187"/>
      <c r="W44" s="167">
        <f t="shared" si="4"/>
        <v>27926060.579999998</v>
      </c>
      <c r="X44" s="29"/>
    </row>
    <row r="45" spans="1:25" x14ac:dyDescent="0.2">
      <c r="D45" s="167" t="s">
        <v>1</v>
      </c>
      <c r="E45" s="168"/>
      <c r="F45" s="167"/>
      <c r="G45" s="167"/>
      <c r="H45" s="167"/>
      <c r="I45" s="168"/>
      <c r="J45" s="167"/>
      <c r="K45" s="176"/>
      <c r="L45" s="177"/>
      <c r="M45" s="168"/>
      <c r="N45" s="168"/>
      <c r="O45" s="167"/>
      <c r="P45" s="168"/>
      <c r="Q45" s="167"/>
      <c r="R45" s="168"/>
      <c r="S45" s="167"/>
      <c r="T45" s="187"/>
      <c r="U45" s="204"/>
      <c r="V45" s="187"/>
      <c r="W45" s="167"/>
    </row>
    <row r="46" spans="1:25" x14ac:dyDescent="0.2">
      <c r="A46" s="6" t="s">
        <v>126</v>
      </c>
      <c r="D46" s="167">
        <f>'Revenue BreakOut'!X53</f>
        <v>1979271.44</v>
      </c>
      <c r="E46" s="168"/>
      <c r="F46" s="167">
        <f>-(107044*0.15)</f>
        <v>-16056.599999999999</v>
      </c>
      <c r="G46" s="167"/>
      <c r="H46" s="167">
        <v>0</v>
      </c>
      <c r="I46" s="168"/>
      <c r="J46" s="167">
        <f t="shared" ref="J46:J52" si="7">SUM(D46:F46)</f>
        <v>1963214.8399999999</v>
      </c>
      <c r="K46" s="176"/>
      <c r="L46" s="177"/>
      <c r="M46" s="168"/>
      <c r="N46" s="168"/>
      <c r="O46" s="167">
        <f t="shared" ref="O46:O52" si="8">SUM(J46:N46)</f>
        <v>1963214.8399999999</v>
      </c>
      <c r="P46" s="168"/>
      <c r="Q46" s="167"/>
      <c r="R46" s="168"/>
      <c r="S46" s="167">
        <f t="shared" si="6"/>
        <v>1963214.8399999999</v>
      </c>
      <c r="T46" s="187"/>
      <c r="U46" s="204">
        <v>0</v>
      </c>
      <c r="V46" s="187"/>
      <c r="W46" s="167">
        <f t="shared" si="4"/>
        <v>1963214.8399999999</v>
      </c>
    </row>
    <row r="47" spans="1:25" x14ac:dyDescent="0.2">
      <c r="B47" s="36"/>
      <c r="D47" s="206" t="s">
        <v>1</v>
      </c>
      <c r="E47" s="210"/>
      <c r="F47" s="206"/>
      <c r="G47" s="206"/>
      <c r="H47" s="206"/>
      <c r="I47" s="210"/>
      <c r="J47" s="167"/>
      <c r="K47" s="209"/>
      <c r="L47" s="206"/>
      <c r="M47" s="210"/>
      <c r="N47" s="210"/>
      <c r="O47" s="167"/>
      <c r="P47" s="210"/>
      <c r="Q47" s="206"/>
      <c r="R47" s="210"/>
      <c r="S47" s="167"/>
      <c r="T47" s="207"/>
      <c r="U47" s="212"/>
      <c r="V47" s="207"/>
      <c r="W47" s="167"/>
    </row>
    <row r="48" spans="1:25" x14ac:dyDescent="0.2">
      <c r="A48" s="6" t="s">
        <v>127</v>
      </c>
      <c r="D48" s="167">
        <f>'Revenue BreakOut'!X55</f>
        <v>5419375.7400000002</v>
      </c>
      <c r="E48" s="168"/>
      <c r="F48" s="167">
        <f>-(252632*0.15)</f>
        <v>-37894.799999999996</v>
      </c>
      <c r="G48" s="167"/>
      <c r="H48" s="167">
        <v>0</v>
      </c>
      <c r="I48" s="168"/>
      <c r="J48" s="167">
        <f t="shared" si="7"/>
        <v>5381480.9400000004</v>
      </c>
      <c r="K48" s="176"/>
      <c r="L48" s="177"/>
      <c r="M48" s="168"/>
      <c r="N48" s="168"/>
      <c r="O48" s="167">
        <f t="shared" si="8"/>
        <v>5381480.9400000004</v>
      </c>
      <c r="P48" s="168"/>
      <c r="Q48" s="173"/>
      <c r="R48" s="168"/>
      <c r="S48" s="167">
        <f t="shared" si="6"/>
        <v>5381480.9400000004</v>
      </c>
      <c r="T48" s="187"/>
      <c r="U48" s="204">
        <v>0</v>
      </c>
      <c r="V48" s="187"/>
      <c r="W48" s="167">
        <f t="shared" si="4"/>
        <v>5381480.9400000004</v>
      </c>
    </row>
    <row r="49" spans="1:24" s="37" customFormat="1" x14ac:dyDescent="0.2">
      <c r="A49" s="6"/>
      <c r="B49" s="130"/>
      <c r="C49" s="29"/>
      <c r="D49" s="167" t="s">
        <v>1</v>
      </c>
      <c r="E49" s="168"/>
      <c r="F49" s="167"/>
      <c r="G49" s="167"/>
      <c r="H49" s="167"/>
      <c r="I49" s="168"/>
      <c r="J49" s="167"/>
      <c r="K49" s="169"/>
      <c r="L49" s="167"/>
      <c r="M49" s="168"/>
      <c r="N49" s="168"/>
      <c r="O49" s="167"/>
      <c r="P49" s="168"/>
      <c r="Q49" s="167"/>
      <c r="R49" s="168"/>
      <c r="S49" s="167"/>
      <c r="T49" s="187"/>
      <c r="U49" s="204"/>
      <c r="V49" s="187"/>
      <c r="W49" s="167"/>
      <c r="X49" s="28"/>
    </row>
    <row r="50" spans="1:24" x14ac:dyDescent="0.2">
      <c r="A50" s="6" t="s">
        <v>128</v>
      </c>
      <c r="D50" s="167">
        <f>'Revenue BreakOut'!X57</f>
        <v>2521008.52</v>
      </c>
      <c r="E50" s="168"/>
      <c r="F50" s="167">
        <f>-(117520*0.15)</f>
        <v>-17628</v>
      </c>
      <c r="G50" s="167"/>
      <c r="H50" s="167">
        <v>0</v>
      </c>
      <c r="I50" s="168"/>
      <c r="J50" s="167">
        <f t="shared" si="7"/>
        <v>2503380.52</v>
      </c>
      <c r="K50" s="169"/>
      <c r="L50" s="167"/>
      <c r="M50" s="168"/>
      <c r="N50" s="168"/>
      <c r="O50" s="167">
        <f t="shared" si="8"/>
        <v>2503380.52</v>
      </c>
      <c r="P50" s="168"/>
      <c r="Q50" s="173"/>
      <c r="R50" s="168"/>
      <c r="S50" s="167">
        <f t="shared" si="6"/>
        <v>2503380.52</v>
      </c>
      <c r="T50" s="187"/>
      <c r="U50" s="204">
        <v>0</v>
      </c>
      <c r="V50" s="187"/>
      <c r="W50" s="167">
        <f t="shared" si="4"/>
        <v>2503380.52</v>
      </c>
    </row>
    <row r="51" spans="1:24" s="37" customFormat="1" x14ac:dyDescent="0.2">
      <c r="A51" s="6"/>
      <c r="B51" s="130"/>
      <c r="C51" s="29"/>
      <c r="D51" s="167" t="s">
        <v>1</v>
      </c>
      <c r="E51" s="168"/>
      <c r="F51" s="167"/>
      <c r="G51" s="167"/>
      <c r="H51" s="167"/>
      <c r="I51" s="168"/>
      <c r="J51" s="167"/>
      <c r="K51" s="169"/>
      <c r="L51" s="167"/>
      <c r="M51" s="168"/>
      <c r="N51" s="168"/>
      <c r="O51" s="167"/>
      <c r="P51" s="168"/>
      <c r="Q51" s="167"/>
      <c r="R51" s="168"/>
      <c r="S51" s="167"/>
      <c r="T51" s="187"/>
      <c r="U51" s="204"/>
      <c r="V51" s="187"/>
      <c r="W51" s="167"/>
      <c r="X51" s="28"/>
    </row>
    <row r="52" spans="1:24" s="37" customFormat="1" x14ac:dyDescent="0.2">
      <c r="A52" s="6" t="s">
        <v>41</v>
      </c>
      <c r="B52" s="130"/>
      <c r="C52" s="29"/>
      <c r="D52" s="167">
        <f>'Revenue BreakOut'!X59</f>
        <v>664096.37999999989</v>
      </c>
      <c r="E52" s="168"/>
      <c r="F52" s="167">
        <f>-(1556756*0.15)</f>
        <v>-233513.4</v>
      </c>
      <c r="G52" s="167"/>
      <c r="H52" s="173">
        <f>(8889380*0.003*0.5)*-1</f>
        <v>-13334.07</v>
      </c>
      <c r="I52" s="168"/>
      <c r="J52" s="167">
        <f t="shared" si="7"/>
        <v>430582.97999999986</v>
      </c>
      <c r="K52" s="169"/>
      <c r="L52" s="167"/>
      <c r="M52" s="168"/>
      <c r="N52" s="168"/>
      <c r="O52" s="167">
        <f t="shared" si="8"/>
        <v>430582.97999999986</v>
      </c>
      <c r="P52" s="168"/>
      <c r="Q52" s="167"/>
      <c r="R52" s="168"/>
      <c r="S52" s="167">
        <f t="shared" si="6"/>
        <v>430582.97999999986</v>
      </c>
      <c r="T52" s="187"/>
      <c r="U52" s="204">
        <v>0</v>
      </c>
      <c r="V52" s="187"/>
      <c r="W52" s="167">
        <f t="shared" si="4"/>
        <v>430582.97999999986</v>
      </c>
      <c r="X52" s="28"/>
    </row>
    <row r="53" spans="1:24" s="37" customFormat="1" x14ac:dyDescent="0.2">
      <c r="A53" s="6"/>
      <c r="B53" s="130"/>
      <c r="C53" s="29"/>
      <c r="D53" s="167"/>
      <c r="E53" s="168"/>
      <c r="F53" s="167"/>
      <c r="G53" s="167"/>
      <c r="H53" s="167"/>
      <c r="I53" s="168"/>
      <c r="J53" s="167"/>
      <c r="K53" s="169"/>
      <c r="L53" s="167"/>
      <c r="M53" s="168"/>
      <c r="N53" s="168"/>
      <c r="O53" s="167"/>
      <c r="P53" s="168"/>
      <c r="Q53" s="167"/>
      <c r="R53" s="168"/>
      <c r="S53" s="167"/>
      <c r="T53" s="187"/>
      <c r="U53" s="204"/>
      <c r="V53" s="187"/>
      <c r="W53" s="167"/>
      <c r="X53" s="28"/>
    </row>
    <row r="54" spans="1:24" x14ac:dyDescent="0.2">
      <c r="A54" s="6" t="s">
        <v>42</v>
      </c>
      <c r="D54" s="167">
        <f>'Revenue BreakOut'!X63</f>
        <v>2352742.2000000002</v>
      </c>
      <c r="E54" s="168"/>
      <c r="F54" s="167">
        <f>-(1812826*0.15)</f>
        <v>-271923.89999999997</v>
      </c>
      <c r="G54" s="167"/>
      <c r="H54" s="173">
        <f>(8889380*0.0023*0.5)*-1</f>
        <v>-10222.787</v>
      </c>
      <c r="I54" s="168"/>
      <c r="J54" s="167">
        <f>SUM(D54:F54)</f>
        <v>2080818.3000000003</v>
      </c>
      <c r="K54" s="169"/>
      <c r="L54" s="167"/>
      <c r="M54" s="168"/>
      <c r="N54" s="168"/>
      <c r="O54" s="167">
        <f>SUM(J54:N54)</f>
        <v>2080818.3000000003</v>
      </c>
      <c r="P54" s="168"/>
      <c r="Q54" s="167"/>
      <c r="R54" s="168"/>
      <c r="S54" s="167">
        <f>SUM(O54:R54)</f>
        <v>2080818.3000000003</v>
      </c>
      <c r="T54" s="187"/>
      <c r="U54" s="204">
        <v>492415</v>
      </c>
      <c r="V54" s="187"/>
      <c r="W54" s="167">
        <f t="shared" si="4"/>
        <v>1588403.3000000003</v>
      </c>
    </row>
    <row r="55" spans="1:24" x14ac:dyDescent="0.2">
      <c r="D55" s="167"/>
      <c r="E55" s="168"/>
      <c r="F55" s="167"/>
      <c r="G55" s="167"/>
      <c r="H55" s="167"/>
      <c r="I55" s="168"/>
      <c r="J55" s="167"/>
      <c r="K55" s="176"/>
      <c r="L55" s="177"/>
      <c r="M55" s="168"/>
      <c r="N55" s="168"/>
      <c r="O55" s="167"/>
      <c r="P55" s="168"/>
      <c r="Q55" s="167"/>
      <c r="R55" s="168"/>
      <c r="S55" s="186"/>
      <c r="T55" s="187"/>
      <c r="U55" s="204"/>
      <c r="V55" s="187"/>
      <c r="W55" s="167"/>
    </row>
    <row r="56" spans="1:24" x14ac:dyDescent="0.2">
      <c r="A56" s="6" t="s">
        <v>61</v>
      </c>
      <c r="D56" s="167">
        <f>'Revenue BreakOut'!X65</f>
        <v>4279429.2799999993</v>
      </c>
      <c r="E56" s="168"/>
      <c r="F56" s="167">
        <f>-(3773876*0.15)</f>
        <v>-566081.4</v>
      </c>
      <c r="G56" s="167"/>
      <c r="H56" s="173">
        <f>(8889380*0.009*0.5)*-1</f>
        <v>-40002.21</v>
      </c>
      <c r="I56" s="168"/>
      <c r="J56" s="167">
        <f>SUM(D56:F56)</f>
        <v>3713347.8799999994</v>
      </c>
      <c r="K56" s="176"/>
      <c r="L56" s="177"/>
      <c r="M56" s="168"/>
      <c r="N56" s="168"/>
      <c r="O56" s="167">
        <f>SUM(J56:N56)</f>
        <v>3713347.8799999994</v>
      </c>
      <c r="P56" s="168"/>
      <c r="Q56" s="167"/>
      <c r="R56" s="168"/>
      <c r="S56" s="167">
        <f>SUM(O56:R56)</f>
        <v>3713347.8799999994</v>
      </c>
      <c r="T56" s="168"/>
      <c r="U56" s="178">
        <v>0</v>
      </c>
      <c r="V56" s="168"/>
      <c r="W56" s="167">
        <f t="shared" si="4"/>
        <v>3713347.8799999994</v>
      </c>
    </row>
    <row r="57" spans="1:24" s="37" customFormat="1" x14ac:dyDescent="0.2">
      <c r="A57" s="65"/>
      <c r="B57" s="40"/>
      <c r="C57" s="32"/>
      <c r="D57" s="206"/>
      <c r="E57" s="210"/>
      <c r="F57" s="206"/>
      <c r="G57" s="206"/>
      <c r="H57" s="206"/>
      <c r="I57" s="210"/>
      <c r="J57" s="206"/>
      <c r="K57" s="209"/>
      <c r="L57" s="206"/>
      <c r="M57" s="210"/>
      <c r="N57" s="210"/>
      <c r="O57" s="167"/>
      <c r="P57" s="210"/>
      <c r="Q57" s="206"/>
      <c r="R57" s="210"/>
      <c r="S57" s="167"/>
      <c r="T57" s="210"/>
      <c r="U57" s="178"/>
      <c r="V57" s="210"/>
      <c r="W57" s="167"/>
    </row>
    <row r="58" spans="1:24" x14ac:dyDescent="0.2">
      <c r="A58" s="6" t="s">
        <v>92</v>
      </c>
      <c r="D58" s="167">
        <f>'Revenue BreakOut'!X67</f>
        <v>558895.94999999995</v>
      </c>
      <c r="E58" s="168"/>
      <c r="F58" s="167">
        <f>-(1126249*0.15)</f>
        <v>-168937.35</v>
      </c>
      <c r="G58" s="167"/>
      <c r="H58" s="167">
        <v>0</v>
      </c>
      <c r="I58" s="168"/>
      <c r="J58" s="167">
        <f>SUM(D58:F58)</f>
        <v>389958.6</v>
      </c>
      <c r="K58" s="176"/>
      <c r="L58" s="177"/>
      <c r="M58" s="168"/>
      <c r="N58" s="168"/>
      <c r="O58" s="167">
        <f>SUM(J58:N58)</f>
        <v>389958.6</v>
      </c>
      <c r="P58" s="168"/>
      <c r="Q58" s="167"/>
      <c r="R58" s="168"/>
      <c r="S58" s="167">
        <f>SUM(O58:R58)</f>
        <v>389958.6</v>
      </c>
      <c r="T58" s="168"/>
      <c r="U58" s="178">
        <v>0</v>
      </c>
      <c r="V58" s="168"/>
      <c r="W58" s="167">
        <f t="shared" si="4"/>
        <v>389958.6</v>
      </c>
    </row>
    <row r="59" spans="1:24" s="37" customFormat="1" x14ac:dyDescent="0.2">
      <c r="A59" s="65"/>
      <c r="B59" s="36"/>
      <c r="C59" s="32"/>
      <c r="D59" s="206"/>
      <c r="E59" s="210"/>
      <c r="F59" s="206"/>
      <c r="G59" s="206"/>
      <c r="H59" s="206"/>
      <c r="I59" s="210"/>
      <c r="J59" s="206"/>
      <c r="K59" s="209"/>
      <c r="L59" s="206"/>
      <c r="M59" s="210"/>
      <c r="N59" s="210"/>
      <c r="O59" s="206"/>
      <c r="P59" s="210"/>
      <c r="Q59" s="206"/>
      <c r="R59" s="210"/>
      <c r="S59" s="206"/>
      <c r="T59" s="210"/>
      <c r="U59" s="217"/>
      <c r="V59" s="210"/>
      <c r="W59" s="167"/>
    </row>
    <row r="60" spans="1:24" x14ac:dyDescent="0.2">
      <c r="A60" s="6" t="s">
        <v>43</v>
      </c>
      <c r="D60" s="167">
        <f>'Revenue BreakOut'!X70</f>
        <v>7615783.8099999987</v>
      </c>
      <c r="E60" s="168"/>
      <c r="F60" s="167">
        <f>-(8878172*0.15)</f>
        <v>-1331725.8</v>
      </c>
      <c r="G60" s="167"/>
      <c r="H60" s="173">
        <f>(8889380*0.005*0.5)*-1</f>
        <v>-22223.45</v>
      </c>
      <c r="I60" s="168"/>
      <c r="J60" s="167">
        <f>SUM(D60:F60)</f>
        <v>6284058.0099999988</v>
      </c>
      <c r="K60" s="176"/>
      <c r="L60" s="177"/>
      <c r="M60" s="168"/>
      <c r="N60" s="168"/>
      <c r="O60" s="167">
        <f>SUM(J60:N60)</f>
        <v>6284058.0099999988</v>
      </c>
      <c r="P60" s="168"/>
      <c r="Q60" s="167"/>
      <c r="R60" s="168"/>
      <c r="S60" s="167">
        <f>SUM(O60:R60)</f>
        <v>6284058.0099999988</v>
      </c>
      <c r="T60" s="168"/>
      <c r="U60" s="178">
        <v>5935211</v>
      </c>
      <c r="V60" s="168"/>
      <c r="W60" s="167">
        <f t="shared" si="4"/>
        <v>348847.00999999885</v>
      </c>
    </row>
    <row r="61" spans="1:24" x14ac:dyDescent="0.2">
      <c r="A61" s="81"/>
      <c r="D61" s="167"/>
      <c r="E61" s="168"/>
      <c r="F61" s="167"/>
      <c r="G61" s="167"/>
      <c r="H61" s="167"/>
      <c r="I61" s="168"/>
      <c r="J61" s="167"/>
      <c r="K61" s="176"/>
      <c r="L61" s="177"/>
      <c r="M61" s="168"/>
      <c r="N61" s="168"/>
      <c r="O61" s="167"/>
      <c r="P61" s="168"/>
      <c r="Q61" s="167"/>
      <c r="R61" s="168"/>
      <c r="S61" s="167"/>
      <c r="T61" s="168"/>
      <c r="U61" s="204"/>
      <c r="V61" s="219"/>
      <c r="W61" s="220"/>
    </row>
    <row r="62" spans="1:24" x14ac:dyDescent="0.2">
      <c r="D62" s="167"/>
      <c r="E62" s="168"/>
      <c r="F62" s="167"/>
      <c r="G62" s="167"/>
      <c r="H62" s="167"/>
      <c r="I62" s="168"/>
      <c r="J62" s="167"/>
      <c r="K62" s="176"/>
      <c r="L62" s="177">
        <f>SUM(L22:L59)</f>
        <v>0</v>
      </c>
      <c r="M62" s="168"/>
      <c r="N62" s="168"/>
      <c r="O62" s="167"/>
      <c r="P62" s="168"/>
      <c r="Q62" s="167"/>
      <c r="R62" s="168"/>
      <c r="S62" s="167"/>
      <c r="T62" s="168"/>
      <c r="U62" s="178">
        <f>SUM(U19:U60)</f>
        <v>21509105</v>
      </c>
      <c r="V62" s="168"/>
      <c r="W62" s="167"/>
    </row>
    <row r="63" spans="1:24" x14ac:dyDescent="0.2">
      <c r="B63" s="54"/>
      <c r="D63" s="201"/>
      <c r="E63" s="168"/>
      <c r="F63" s="167"/>
      <c r="G63" s="167"/>
      <c r="H63" s="167"/>
      <c r="I63" s="168"/>
      <c r="J63" s="167"/>
      <c r="K63" s="176"/>
      <c r="L63" s="177"/>
      <c r="M63" s="168"/>
      <c r="N63" s="168"/>
      <c r="O63" s="186"/>
      <c r="P63" s="218"/>
      <c r="Q63" s="177">
        <f>L62+U62</f>
        <v>21509105</v>
      </c>
      <c r="R63" s="178"/>
      <c r="S63" s="177" t="s">
        <v>23</v>
      </c>
      <c r="T63" s="168"/>
      <c r="U63" s="178"/>
      <c r="V63" s="168"/>
      <c r="W63" s="221"/>
      <c r="X63" s="55"/>
    </row>
    <row r="64" spans="1:24" x14ac:dyDescent="0.2">
      <c r="D64" s="167"/>
      <c r="E64" s="168"/>
      <c r="F64" s="167"/>
      <c r="G64" s="167"/>
      <c r="H64" s="167"/>
      <c r="I64" s="168"/>
      <c r="J64" s="167"/>
      <c r="K64" s="176"/>
      <c r="L64" s="175"/>
      <c r="M64" s="168"/>
      <c r="N64" s="168"/>
      <c r="O64" s="186"/>
      <c r="P64" s="168"/>
      <c r="Q64" s="186"/>
      <c r="R64" s="187"/>
      <c r="S64" s="186"/>
      <c r="T64" s="168"/>
      <c r="U64" s="178"/>
      <c r="V64" s="168"/>
      <c r="W64" s="221"/>
    </row>
    <row r="65" spans="1:23" x14ac:dyDescent="0.2">
      <c r="D65" s="167"/>
      <c r="E65" s="168"/>
      <c r="F65" s="167"/>
      <c r="G65" s="167"/>
      <c r="H65" s="167"/>
      <c r="I65" s="168"/>
      <c r="J65" s="167"/>
      <c r="K65" s="176"/>
      <c r="L65" s="177"/>
      <c r="M65" s="168"/>
      <c r="N65" s="168"/>
      <c r="O65" s="186"/>
      <c r="P65" s="168"/>
      <c r="Q65" s="186"/>
      <c r="R65" s="187"/>
      <c r="S65" s="186"/>
      <c r="T65" s="168"/>
      <c r="U65" s="178"/>
      <c r="V65" s="168"/>
      <c r="W65" s="186"/>
    </row>
    <row r="66" spans="1:23" x14ac:dyDescent="0.2">
      <c r="D66" s="167">
        <f>SUM(D22:D65)+D13</f>
        <v>131993407.83749998</v>
      </c>
      <c r="E66" s="167">
        <f t="shared" ref="E66:J66" si="9">SUM(E22:E65)+E13</f>
        <v>0</v>
      </c>
      <c r="F66" s="167">
        <f t="shared" si="9"/>
        <v>-51700157.649999999</v>
      </c>
      <c r="G66" s="167"/>
      <c r="H66" s="167">
        <f t="shared" si="9"/>
        <v>-4450912.5659999996</v>
      </c>
      <c r="I66" s="167"/>
      <c r="J66" s="167">
        <f t="shared" si="9"/>
        <v>76857504.81749998</v>
      </c>
      <c r="K66" s="176"/>
      <c r="L66" s="177"/>
      <c r="M66" s="168"/>
      <c r="N66" s="168"/>
      <c r="O66" s="186"/>
      <c r="P66" s="168"/>
      <c r="Q66" s="186"/>
      <c r="R66" s="187"/>
      <c r="S66" s="186"/>
      <c r="T66" s="168"/>
      <c r="U66" s="178"/>
      <c r="V66" s="168"/>
      <c r="W66" s="167"/>
    </row>
    <row r="67" spans="1:23" x14ac:dyDescent="0.2">
      <c r="B67" s="29" t="s">
        <v>1</v>
      </c>
      <c r="D67" s="167"/>
      <c r="E67" s="168"/>
      <c r="F67" s="167"/>
      <c r="G67" s="167"/>
      <c r="H67" s="167"/>
      <c r="I67" s="168"/>
      <c r="J67" s="167"/>
      <c r="K67" s="176"/>
      <c r="L67" s="177"/>
      <c r="M67" s="168"/>
      <c r="N67" s="168"/>
      <c r="O67" s="167"/>
      <c r="P67" s="168"/>
      <c r="Q67" s="167"/>
      <c r="R67" s="168"/>
      <c r="S67" s="167"/>
      <c r="T67" s="168"/>
      <c r="U67" s="178"/>
      <c r="V67" s="168"/>
      <c r="W67" s="167"/>
    </row>
    <row r="68" spans="1:23" x14ac:dyDescent="0.2">
      <c r="A68" s="254"/>
    </row>
  </sheetData>
  <mergeCells count="1">
    <mergeCell ref="A29:B29"/>
  </mergeCells>
  <printOptions gridLines="1"/>
  <pageMargins left="0.7" right="0.7" top="0.75" bottom="0.75" header="0.3" footer="0.3"/>
  <pageSetup scale="52"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3"/>
  <sheetViews>
    <sheetView tabSelected="1" workbookViewId="0">
      <pane ySplit="3" topLeftCell="A4" activePane="bottomLeft" state="frozen"/>
      <selection pane="bottomLeft" activeCell="P42" sqref="P42"/>
    </sheetView>
  </sheetViews>
  <sheetFormatPr defaultColWidth="9.140625" defaultRowHeight="12.75" x14ac:dyDescent="0.2"/>
  <cols>
    <col min="1" max="1" width="20.28515625" style="2" customWidth="1"/>
    <col min="2" max="2" width="1.7109375" style="28" customWidth="1"/>
    <col min="3" max="3" width="14" style="1" customWidth="1"/>
    <col min="4" max="4" width="1.7109375" style="31" customWidth="1"/>
    <col min="5" max="5" width="15.140625" style="1" customWidth="1"/>
    <col min="6" max="6" width="1.7109375" style="1" customWidth="1"/>
    <col min="7" max="7" width="16.5703125" style="1" customWidth="1"/>
    <col min="8" max="8" width="1.7109375" style="31" customWidth="1"/>
    <col min="9" max="9" width="19" style="1" customWidth="1"/>
    <col min="10" max="10" width="1.7109375" style="31" customWidth="1"/>
    <col min="11" max="11" width="17.42578125" style="1" customWidth="1"/>
    <col min="12" max="12" width="1.7109375" style="2" customWidth="1"/>
    <col min="13" max="13" width="16.28515625" style="2" customWidth="1"/>
    <col min="14" max="14" width="9.140625" style="28" customWidth="1"/>
    <col min="15" max="16384" width="9.140625" style="28"/>
  </cols>
  <sheetData>
    <row r="1" spans="1:14" s="51" customFormat="1" x14ac:dyDescent="0.2">
      <c r="A1" s="67" t="s">
        <v>141</v>
      </c>
      <c r="C1" s="77"/>
      <c r="D1" s="41"/>
      <c r="E1" s="77"/>
      <c r="F1" s="77"/>
      <c r="G1" s="77"/>
      <c r="H1" s="41"/>
      <c r="I1" s="77"/>
      <c r="J1" s="41"/>
      <c r="K1" s="77"/>
      <c r="L1" s="67"/>
      <c r="M1" s="67"/>
    </row>
    <row r="2" spans="1:14" x14ac:dyDescent="0.2">
      <c r="I2" s="14"/>
    </row>
    <row r="3" spans="1:14" s="86" customFormat="1" x14ac:dyDescent="0.2">
      <c r="A3" s="85" t="s">
        <v>68</v>
      </c>
      <c r="C3" s="84" t="s">
        <v>69</v>
      </c>
      <c r="D3" s="83"/>
      <c r="E3" s="84" t="s">
        <v>19</v>
      </c>
      <c r="F3" s="83"/>
      <c r="G3" s="84" t="s">
        <v>70</v>
      </c>
      <c r="H3" s="83"/>
      <c r="I3" s="84" t="s">
        <v>88</v>
      </c>
      <c r="J3" s="83"/>
      <c r="K3" s="84" t="s">
        <v>94</v>
      </c>
      <c r="M3" s="85" t="s">
        <v>89</v>
      </c>
    </row>
    <row r="4" spans="1:14" x14ac:dyDescent="0.2">
      <c r="A4" s="2" t="s">
        <v>98</v>
      </c>
    </row>
    <row r="5" spans="1:14" x14ac:dyDescent="0.2">
      <c r="A5" s="2" t="s">
        <v>71</v>
      </c>
      <c r="C5" s="1">
        <v>25519319</v>
      </c>
      <c r="E5" s="1">
        <v>81233032</v>
      </c>
      <c r="G5" s="1">
        <f>C5-E5</f>
        <v>-55713713</v>
      </c>
      <c r="I5" s="1">
        <v>55362849</v>
      </c>
      <c r="K5" s="1">
        <f>SUM(G5:I5)</f>
        <v>-350864</v>
      </c>
      <c r="L5" s="87"/>
      <c r="M5" s="87">
        <f>K5/I5</f>
        <v>-6.337535122153847E-3</v>
      </c>
      <c r="N5" s="87" t="s">
        <v>1</v>
      </c>
    </row>
    <row r="6" spans="1:14" x14ac:dyDescent="0.2">
      <c r="G6" s="1" t="s">
        <v>1</v>
      </c>
      <c r="L6" s="87"/>
      <c r="M6" s="87"/>
      <c r="N6" s="56"/>
    </row>
    <row r="7" spans="1:14" x14ac:dyDescent="0.2">
      <c r="A7" s="2" t="s">
        <v>72</v>
      </c>
      <c r="C7" s="1">
        <v>519753</v>
      </c>
      <c r="E7" s="1">
        <v>2381321</v>
      </c>
      <c r="G7" s="1">
        <f t="shared" ref="G7:G43" si="0">C7-E7</f>
        <v>-1861568</v>
      </c>
      <c r="I7" s="1">
        <v>205047</v>
      </c>
      <c r="K7" s="1">
        <f>SUM(G7:I7)</f>
        <v>-1656521</v>
      </c>
      <c r="L7" s="87"/>
      <c r="M7" s="87">
        <f>K7/I7</f>
        <v>-8.0787380454237319</v>
      </c>
      <c r="N7" s="56"/>
    </row>
    <row r="8" spans="1:14" x14ac:dyDescent="0.2">
      <c r="C8" s="31"/>
      <c r="E8" s="31"/>
      <c r="I8" s="1" t="s">
        <v>1</v>
      </c>
      <c r="L8" s="87"/>
      <c r="M8" s="87"/>
      <c r="N8" s="56"/>
    </row>
    <row r="9" spans="1:14" x14ac:dyDescent="0.2">
      <c r="A9" s="2" t="s">
        <v>83</v>
      </c>
      <c r="C9" s="1">
        <v>8488.1200000000008</v>
      </c>
      <c r="D9" s="1"/>
      <c r="E9" s="1">
        <v>0</v>
      </c>
      <c r="G9" s="1">
        <v>0</v>
      </c>
      <c r="H9" s="1"/>
      <c r="I9" s="1">
        <v>0</v>
      </c>
      <c r="J9" s="1"/>
      <c r="K9" s="1">
        <f>SUM(G9:I9)</f>
        <v>0</v>
      </c>
      <c r="L9" s="87"/>
      <c r="M9" s="87"/>
      <c r="N9" s="56"/>
    </row>
    <row r="10" spans="1:14" x14ac:dyDescent="0.2">
      <c r="C10" s="31"/>
      <c r="E10" s="31"/>
      <c r="G10" s="1" t="s">
        <v>1</v>
      </c>
      <c r="L10" s="87"/>
      <c r="M10" s="87"/>
      <c r="N10" s="56"/>
    </row>
    <row r="11" spans="1:14" x14ac:dyDescent="0.2">
      <c r="A11" s="2" t="s">
        <v>73</v>
      </c>
      <c r="C11" s="1">
        <v>159362</v>
      </c>
      <c r="E11" s="1">
        <v>463616</v>
      </c>
      <c r="G11" s="1">
        <f t="shared" si="0"/>
        <v>-304254</v>
      </c>
      <c r="I11" s="1">
        <v>350143</v>
      </c>
      <c r="K11" s="1">
        <f>SUM(G11:I11)</f>
        <v>45889</v>
      </c>
      <c r="L11" s="87"/>
      <c r="M11" s="87">
        <f>K11/I11</f>
        <v>0.13105788206532759</v>
      </c>
      <c r="N11" s="56"/>
    </row>
    <row r="12" spans="1:14" x14ac:dyDescent="0.2">
      <c r="C12" s="31"/>
      <c r="E12" s="31"/>
      <c r="G12" s="1" t="s">
        <v>1</v>
      </c>
      <c r="L12" s="87"/>
      <c r="M12" s="87"/>
      <c r="N12" s="56"/>
    </row>
    <row r="13" spans="1:14" x14ac:dyDescent="0.2">
      <c r="A13" s="2" t="s">
        <v>74</v>
      </c>
      <c r="C13" s="1">
        <v>62567</v>
      </c>
      <c r="E13" s="1">
        <v>514983</v>
      </c>
      <c r="G13" s="1">
        <f t="shared" si="0"/>
        <v>-452416</v>
      </c>
      <c r="I13" s="1">
        <v>441375</v>
      </c>
      <c r="K13" s="1">
        <f>SUM(G13:I13)</f>
        <v>-11041</v>
      </c>
      <c r="L13" s="87"/>
      <c r="M13" s="87">
        <f>K13/I13</f>
        <v>-2.5015009912206173E-2</v>
      </c>
      <c r="N13" s="56"/>
    </row>
    <row r="14" spans="1:14" x14ac:dyDescent="0.2">
      <c r="C14" s="31"/>
      <c r="E14" s="31"/>
      <c r="G14" s="1" t="s">
        <v>1</v>
      </c>
      <c r="L14" s="87"/>
      <c r="M14" s="87"/>
      <c r="N14" s="56"/>
    </row>
    <row r="15" spans="1:14" x14ac:dyDescent="0.2">
      <c r="A15" s="2" t="s">
        <v>75</v>
      </c>
      <c r="C15" s="1">
        <v>47696</v>
      </c>
      <c r="E15" s="1">
        <v>1706938</v>
      </c>
      <c r="G15" s="1">
        <f t="shared" si="0"/>
        <v>-1659242</v>
      </c>
      <c r="I15" s="1">
        <v>1704641</v>
      </c>
      <c r="K15" s="1">
        <f>SUM(G15:I15)</f>
        <v>45399</v>
      </c>
      <c r="L15" s="87"/>
      <c r="M15" s="87">
        <f>K15/I15</f>
        <v>2.6632587154714688E-2</v>
      </c>
      <c r="N15" s="56"/>
    </row>
    <row r="16" spans="1:14" x14ac:dyDescent="0.2">
      <c r="C16" s="31"/>
      <c r="E16" s="31"/>
      <c r="G16" s="1" t="s">
        <v>1</v>
      </c>
      <c r="L16" s="87"/>
      <c r="M16" s="87"/>
      <c r="N16" s="56"/>
    </row>
    <row r="17" spans="1:14" x14ac:dyDescent="0.2">
      <c r="A17" s="2" t="s">
        <v>76</v>
      </c>
      <c r="C17" s="1">
        <v>8654</v>
      </c>
      <c r="E17" s="1">
        <v>620</v>
      </c>
      <c r="G17" s="1">
        <v>0</v>
      </c>
      <c r="I17" s="1">
        <v>0</v>
      </c>
      <c r="K17" s="1">
        <f>SUM(G17:I17)</f>
        <v>0</v>
      </c>
      <c r="L17" s="87"/>
      <c r="M17" s="87"/>
      <c r="N17" s="56"/>
    </row>
    <row r="18" spans="1:14" x14ac:dyDescent="0.2">
      <c r="C18" s="31"/>
      <c r="E18" s="31"/>
      <c r="G18" s="1" t="s">
        <v>1</v>
      </c>
      <c r="L18" s="87"/>
      <c r="M18" s="87"/>
      <c r="N18" s="56"/>
    </row>
    <row r="19" spans="1:14" x14ac:dyDescent="0.2">
      <c r="A19" s="2" t="s">
        <v>77</v>
      </c>
      <c r="C19" s="1">
        <v>36370</v>
      </c>
      <c r="E19" s="1">
        <v>137502</v>
      </c>
      <c r="G19" s="1">
        <f t="shared" si="0"/>
        <v>-101132</v>
      </c>
      <c r="I19" s="1">
        <v>134695</v>
      </c>
      <c r="K19" s="1">
        <f>SUM(G19:I19)</f>
        <v>33563</v>
      </c>
      <c r="L19" s="87"/>
      <c r="M19" s="87">
        <f>K19/I19</f>
        <v>0.24917777200341512</v>
      </c>
      <c r="N19" s="56"/>
    </row>
    <row r="20" spans="1:14" x14ac:dyDescent="0.2">
      <c r="C20" s="31"/>
      <c r="E20" s="31"/>
      <c r="G20" s="1" t="s">
        <v>1</v>
      </c>
      <c r="I20" s="1" t="s">
        <v>1</v>
      </c>
      <c r="L20" s="87"/>
      <c r="M20" s="87"/>
      <c r="N20" s="56"/>
    </row>
    <row r="21" spans="1:14" x14ac:dyDescent="0.2">
      <c r="A21" s="2" t="s">
        <v>78</v>
      </c>
      <c r="C21" s="1">
        <v>1493269</v>
      </c>
      <c r="E21" s="1">
        <v>6028806.5099999998</v>
      </c>
      <c r="G21" s="1">
        <f t="shared" si="0"/>
        <v>-4535537.51</v>
      </c>
      <c r="I21" s="1">
        <v>5010553</v>
      </c>
      <c r="K21" s="1">
        <f>SUM(G21:I21)</f>
        <v>475015.49000000022</v>
      </c>
      <c r="L21" s="87"/>
      <c r="M21" s="87">
        <f>K21/I21</f>
        <v>9.4803006773903048E-2</v>
      </c>
      <c r="N21" s="56"/>
    </row>
    <row r="22" spans="1:14" x14ac:dyDescent="0.2">
      <c r="G22" s="1" t="s">
        <v>1</v>
      </c>
      <c r="I22" s="1" t="s">
        <v>1</v>
      </c>
      <c r="L22" s="87"/>
      <c r="M22" s="87"/>
      <c r="N22" s="56"/>
    </row>
    <row r="23" spans="1:14" x14ac:dyDescent="0.2">
      <c r="A23" s="2" t="s">
        <v>38</v>
      </c>
      <c r="C23" s="1">
        <v>4533363</v>
      </c>
      <c r="E23" s="1">
        <v>8682673</v>
      </c>
      <c r="G23" s="1">
        <f t="shared" si="0"/>
        <v>-4149310</v>
      </c>
      <c r="I23" s="1">
        <v>3606462</v>
      </c>
      <c r="K23" s="1">
        <f>SUM(G23:I23)</f>
        <v>-542848</v>
      </c>
      <c r="L23" s="87"/>
      <c r="M23" s="87">
        <f>K23/I23</f>
        <v>-0.15052092604885342</v>
      </c>
      <c r="N23" s="56"/>
    </row>
    <row r="24" spans="1:14" x14ac:dyDescent="0.2">
      <c r="G24" s="1" t="s">
        <v>1</v>
      </c>
      <c r="L24" s="87"/>
      <c r="M24" s="87"/>
      <c r="N24" s="56"/>
    </row>
    <row r="25" spans="1:14" x14ac:dyDescent="0.2">
      <c r="A25" s="2" t="s">
        <v>79</v>
      </c>
      <c r="C25" s="1">
        <v>111877</v>
      </c>
      <c r="E25" s="1">
        <v>50522</v>
      </c>
      <c r="G25" s="1">
        <v>0</v>
      </c>
      <c r="I25" s="1">
        <v>0</v>
      </c>
      <c r="K25" s="1">
        <f>SUM(G25:I25)</f>
        <v>0</v>
      </c>
      <c r="L25" s="87"/>
      <c r="M25" s="87"/>
      <c r="N25" s="56"/>
    </row>
    <row r="26" spans="1:14" x14ac:dyDescent="0.2">
      <c r="C26" s="31"/>
      <c r="E26" s="31"/>
      <c r="G26" s="1" t="s">
        <v>1</v>
      </c>
      <c r="L26" s="87"/>
      <c r="M26" s="87"/>
      <c r="N26" s="56"/>
    </row>
    <row r="27" spans="1:14" x14ac:dyDescent="0.2">
      <c r="A27" s="2" t="s">
        <v>80</v>
      </c>
      <c r="C27" s="1">
        <v>1775553</v>
      </c>
      <c r="E27" s="1">
        <v>1917194</v>
      </c>
      <c r="G27" s="1">
        <f t="shared" si="0"/>
        <v>-141641</v>
      </c>
      <c r="I27" s="1">
        <v>136073</v>
      </c>
      <c r="K27" s="1">
        <f>SUM(G27:I27)</f>
        <v>-5568</v>
      </c>
      <c r="L27" s="87"/>
      <c r="M27" s="87">
        <f t="shared" ref="M27:M37" si="1">K27/I27</f>
        <v>-4.0919212481535648E-2</v>
      </c>
      <c r="N27" s="56"/>
    </row>
    <row r="28" spans="1:14" x14ac:dyDescent="0.2">
      <c r="C28" s="31"/>
      <c r="E28" s="31"/>
      <c r="L28" s="87"/>
      <c r="M28" s="87"/>
      <c r="N28" s="56"/>
    </row>
    <row r="29" spans="1:14" x14ac:dyDescent="0.2">
      <c r="A29" s="2" t="s">
        <v>142</v>
      </c>
      <c r="C29" s="1">
        <v>6751014</v>
      </c>
      <c r="E29" s="1">
        <v>3343411</v>
      </c>
      <c r="G29" s="1">
        <f t="shared" si="0"/>
        <v>3407603</v>
      </c>
      <c r="I29" s="1">
        <v>0</v>
      </c>
      <c r="K29" s="1">
        <f>SUM(G29:I29)</f>
        <v>3407603</v>
      </c>
      <c r="L29" s="87"/>
      <c r="M29" s="87"/>
      <c r="N29" s="56"/>
    </row>
    <row r="30" spans="1:14" x14ac:dyDescent="0.2">
      <c r="C30" s="31"/>
      <c r="E30" s="31"/>
      <c r="G30" s="1" t="s">
        <v>1</v>
      </c>
      <c r="L30" s="87"/>
      <c r="M30" s="87"/>
      <c r="N30" s="56"/>
    </row>
    <row r="31" spans="1:14" x14ac:dyDescent="0.2">
      <c r="A31" s="2" t="s">
        <v>143</v>
      </c>
      <c r="C31" s="1">
        <v>15315</v>
      </c>
      <c r="E31" s="1">
        <v>43578</v>
      </c>
      <c r="G31" s="1">
        <f t="shared" ref="G31" si="2">C31-E31</f>
        <v>-28263</v>
      </c>
      <c r="I31" s="1">
        <v>0</v>
      </c>
      <c r="K31" s="1">
        <f>SUM(G31:I31)</f>
        <v>-28263</v>
      </c>
      <c r="L31" s="87"/>
      <c r="M31" s="87"/>
      <c r="N31" s="56"/>
    </row>
    <row r="32" spans="1:14" x14ac:dyDescent="0.2">
      <c r="L32" s="87"/>
      <c r="M32" s="87"/>
      <c r="N32" s="56"/>
    </row>
    <row r="33" spans="1:14" x14ac:dyDescent="0.2">
      <c r="A33" s="2" t="s">
        <v>81</v>
      </c>
      <c r="C33" s="1">
        <v>195963</v>
      </c>
      <c r="E33" s="1">
        <v>227560</v>
      </c>
      <c r="G33" s="1">
        <f t="shared" si="0"/>
        <v>-31597</v>
      </c>
      <c r="I33" s="1">
        <v>37953</v>
      </c>
      <c r="K33" s="1">
        <f>SUM(G33:I33)</f>
        <v>6356</v>
      </c>
      <c r="L33" s="87"/>
      <c r="M33" s="87"/>
      <c r="N33" s="56"/>
    </row>
    <row r="34" spans="1:14" x14ac:dyDescent="0.2">
      <c r="C34" s="31"/>
      <c r="E34" s="31"/>
      <c r="G34" s="1" t="s">
        <v>1</v>
      </c>
      <c r="L34" s="87"/>
      <c r="M34" s="87"/>
      <c r="N34" s="56"/>
    </row>
    <row r="35" spans="1:14" x14ac:dyDescent="0.2">
      <c r="A35" s="2" t="s">
        <v>82</v>
      </c>
      <c r="C35" s="1">
        <v>38</v>
      </c>
      <c r="E35" s="1">
        <v>0</v>
      </c>
      <c r="G35" s="1">
        <v>0</v>
      </c>
      <c r="I35" s="1">
        <v>0</v>
      </c>
      <c r="K35" s="1">
        <f>SUM(G35:I35)</f>
        <v>0</v>
      </c>
      <c r="L35" s="87"/>
      <c r="M35" s="87"/>
      <c r="N35" s="56"/>
    </row>
    <row r="36" spans="1:14" x14ac:dyDescent="0.2">
      <c r="C36" s="31"/>
      <c r="E36" s="31"/>
      <c r="G36" s="1" t="s">
        <v>1</v>
      </c>
      <c r="L36" s="87"/>
      <c r="M36" s="87"/>
      <c r="N36" s="56"/>
    </row>
    <row r="37" spans="1:14" x14ac:dyDescent="0.2">
      <c r="A37" s="2" t="s">
        <v>84</v>
      </c>
      <c r="C37" s="1">
        <v>64401</v>
      </c>
      <c r="E37" s="1">
        <v>236696</v>
      </c>
      <c r="G37" s="1">
        <f t="shared" si="0"/>
        <v>-172295</v>
      </c>
      <c r="I37" s="1">
        <v>227661</v>
      </c>
      <c r="K37" s="1">
        <f>SUM(G37:I37)</f>
        <v>55366</v>
      </c>
      <c r="L37" s="87"/>
      <c r="M37" s="87">
        <f t="shared" si="1"/>
        <v>0.24319492578878243</v>
      </c>
      <c r="N37" s="56"/>
    </row>
    <row r="38" spans="1:14" x14ac:dyDescent="0.2">
      <c r="C38" s="31"/>
      <c r="E38" s="31"/>
      <c r="G38" s="1" t="s">
        <v>1</v>
      </c>
      <c r="L38" s="87"/>
      <c r="M38" s="87"/>
      <c r="N38" s="56"/>
    </row>
    <row r="39" spans="1:14" x14ac:dyDescent="0.2">
      <c r="A39" s="2" t="s">
        <v>85</v>
      </c>
      <c r="C39" s="1">
        <v>1057957</v>
      </c>
      <c r="E39" s="1">
        <v>883183</v>
      </c>
      <c r="G39" s="1">
        <v>0</v>
      </c>
      <c r="I39" s="1">
        <v>0</v>
      </c>
      <c r="K39" s="1">
        <f>SUM(G39:I39)</f>
        <v>0</v>
      </c>
      <c r="L39" s="87"/>
      <c r="M39" s="87"/>
      <c r="N39" s="56"/>
    </row>
    <row r="40" spans="1:14" x14ac:dyDescent="0.2">
      <c r="E40" s="31"/>
      <c r="G40" s="1" t="s">
        <v>1</v>
      </c>
      <c r="I40" s="1" t="s">
        <v>119</v>
      </c>
      <c r="L40" s="87"/>
      <c r="M40" s="87"/>
      <c r="N40" s="56"/>
    </row>
    <row r="41" spans="1:14" x14ac:dyDescent="0.2">
      <c r="A41" s="2" t="s">
        <v>86</v>
      </c>
      <c r="C41" s="1">
        <v>271842</v>
      </c>
      <c r="E41" s="1">
        <v>416066</v>
      </c>
      <c r="G41" s="1">
        <f>C41-E41</f>
        <v>-144224</v>
      </c>
      <c r="I41" s="1">
        <v>0</v>
      </c>
      <c r="K41" s="1">
        <f>SUM(G41:I41)</f>
        <v>-144224</v>
      </c>
      <c r="L41" s="87"/>
      <c r="M41" s="88"/>
      <c r="N41" s="56"/>
    </row>
    <row r="42" spans="1:14" x14ac:dyDescent="0.2">
      <c r="C42" s="31"/>
      <c r="E42" s="31"/>
      <c r="G42" s="1" t="s">
        <v>1</v>
      </c>
      <c r="L42" s="87"/>
      <c r="M42" s="87"/>
      <c r="N42" s="56"/>
    </row>
    <row r="43" spans="1:14" x14ac:dyDescent="0.2">
      <c r="A43" s="2" t="s">
        <v>87</v>
      </c>
      <c r="C43" s="1">
        <v>2504649</v>
      </c>
      <c r="E43" s="1">
        <v>3135303</v>
      </c>
      <c r="G43" s="1">
        <f t="shared" si="0"/>
        <v>-630654</v>
      </c>
      <c r="I43" s="1">
        <v>302353</v>
      </c>
      <c r="K43" s="1">
        <f>SUM(G43:I43)</f>
        <v>-328301</v>
      </c>
      <c r="L43" s="87"/>
      <c r="M43" s="87"/>
      <c r="N43" s="56"/>
    </row>
    <row r="44" spans="1:14" x14ac:dyDescent="0.2">
      <c r="L44" s="87"/>
      <c r="M44" s="87"/>
      <c r="N44" s="56"/>
    </row>
    <row r="45" spans="1:14" x14ac:dyDescent="0.2">
      <c r="L45" s="87"/>
      <c r="M45" s="87"/>
      <c r="N45" s="56"/>
    </row>
    <row r="46" spans="1:14" x14ac:dyDescent="0.2">
      <c r="L46" s="87"/>
      <c r="M46" s="87"/>
      <c r="N46" s="56"/>
    </row>
    <row r="47" spans="1:14" x14ac:dyDescent="0.2">
      <c r="L47" s="87"/>
      <c r="M47" s="87"/>
      <c r="N47" s="56"/>
    </row>
    <row r="48" spans="1:14" x14ac:dyDescent="0.2">
      <c r="L48" s="87"/>
      <c r="M48" s="87"/>
      <c r="N48" s="56"/>
    </row>
    <row r="49" spans="12:14" x14ac:dyDescent="0.2">
      <c r="L49" s="87"/>
      <c r="M49" s="87"/>
      <c r="N49" s="56"/>
    </row>
    <row r="50" spans="12:14" x14ac:dyDescent="0.2">
      <c r="L50" s="87"/>
      <c r="M50" s="87"/>
      <c r="N50" s="56"/>
    </row>
    <row r="51" spans="12:14" x14ac:dyDescent="0.2">
      <c r="L51" s="87"/>
      <c r="M51" s="87"/>
      <c r="N51" s="56"/>
    </row>
    <row r="52" spans="12:14" x14ac:dyDescent="0.2">
      <c r="L52" s="87"/>
      <c r="M52" s="87"/>
      <c r="N52" s="56"/>
    </row>
    <row r="53" spans="12:14" x14ac:dyDescent="0.2">
      <c r="L53" s="87"/>
      <c r="M53" s="87"/>
      <c r="N53" s="56"/>
    </row>
  </sheetData>
  <printOptions gridLines="1"/>
  <pageMargins left="0.2" right="0.2" top="0.5" bottom="0.5" header="0.3" footer="0.3"/>
  <pageSetup scale="88" orientation="landscape" r:id="rId1"/>
  <headerFooter>
    <oddFooter>&amp;R&amp;8&amp;Z&amp;F
&amp;A
&amp;D</oddFooter>
  </headerFooter>
  <legacyDrawing r:id="rId2"/>
</worksheet>
</file>

<file path=docMetadata/LabelInfo.xml><?xml version="1.0" encoding="utf-8"?>
<clbl:labelList xmlns:clbl="http://schemas.microsoft.com/office/2020/mipLabelMetadata">
  <clbl:label id="{d871a3f7-29a7-41aa-b673-abcba3d8650a}" enabled="0" method="" siteId="{d871a3f7-29a7-41aa-b673-abcba3d865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Revenue BreakOut</vt:lpstr>
      <vt:lpstr>AvailableSurplus</vt:lpstr>
      <vt:lpstr>AvailableSurplus w27th</vt:lpstr>
      <vt:lpstr>Cash Basis Actual </vt:lpstr>
      <vt:lpstr>'Revenue BreakOut'!Print_Area</vt:lpstr>
    </vt:vector>
  </TitlesOfParts>
  <Company>Ada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austurtw</dc:creator>
  <cp:lastModifiedBy>Timothy Sturges</cp:lastModifiedBy>
  <cp:lastPrinted>2026-08-10T20:11:11Z</cp:lastPrinted>
  <dcterms:created xsi:type="dcterms:W3CDTF">2011-01-04T15:23:10Z</dcterms:created>
  <dcterms:modified xsi:type="dcterms:W3CDTF">2026-08-19T15:44:10Z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